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</sheets>
  <definedNames>
    <definedName name="_xlnm._FilterDatabase" localSheetId="0" hidden="1">'Лист1'!$A$10:$BS$10</definedName>
    <definedName name="_xlnm.Print_Titles" localSheetId="0">'Лист1'!$A:$A,'Лист1'!$10:$10</definedName>
    <definedName name="Районы_delme">'Лист1'!#REF!</definedName>
  </definedNames>
  <calcPr fullCalcOnLoad="1" refMode="R1C1"/>
</workbook>
</file>

<file path=xl/sharedStrings.xml><?xml version="1.0" encoding="utf-8"?>
<sst xmlns="http://schemas.openxmlformats.org/spreadsheetml/2006/main" count="521" uniqueCount="520">
  <si>
    <t>4703027719</t>
  </si>
  <si>
    <t>ООО "Спутник"</t>
  </si>
  <si>
    <t>4703005137</t>
  </si>
  <si>
    <t>СПК "Пригородный"</t>
  </si>
  <si>
    <t>Всеволожский</t>
  </si>
  <si>
    <t>4704008395</t>
  </si>
  <si>
    <t>АО "Птицефабрика Роскар"</t>
  </si>
  <si>
    <t>4704083071</t>
  </si>
  <si>
    <t>ОАО "Птицефабрика Ударник"</t>
  </si>
  <si>
    <t>4704069366</t>
  </si>
  <si>
    <t>ООО  "СХП Лосево"</t>
  </si>
  <si>
    <t>4704079340</t>
  </si>
  <si>
    <t>ООО "СП "Бекон"</t>
  </si>
  <si>
    <t>4704088785</t>
  </si>
  <si>
    <t>ООО "СП Матросово"</t>
  </si>
  <si>
    <t>7804092068</t>
  </si>
  <si>
    <t xml:space="preserve">ООО "Север" </t>
  </si>
  <si>
    <t>4704056720</t>
  </si>
  <si>
    <t>ООО "Сельхозпредприятие "Смена"</t>
  </si>
  <si>
    <t>4704096306</t>
  </si>
  <si>
    <t>ООО "Цвелодубово"</t>
  </si>
  <si>
    <t>4704083226</t>
  </si>
  <si>
    <t>ООО ТК "Первомайский"</t>
  </si>
  <si>
    <t>4704004986</t>
  </si>
  <si>
    <t xml:space="preserve">СПК  "Поляны" </t>
  </si>
  <si>
    <t>4704049070</t>
  </si>
  <si>
    <t>СПК "Рябовский"</t>
  </si>
  <si>
    <t>Выборгский</t>
  </si>
  <si>
    <t>4719011344</t>
  </si>
  <si>
    <t>АО "Нива-1"</t>
  </si>
  <si>
    <t>4705036726</t>
  </si>
  <si>
    <t xml:space="preserve">АО "ПЗ "Красногвардейский" </t>
  </si>
  <si>
    <t>4719004080</t>
  </si>
  <si>
    <t>АО "Племенная птицефабрика Войсковицы"</t>
  </si>
  <si>
    <t>4705035232</t>
  </si>
  <si>
    <t xml:space="preserve">АО "Племзавод "Пламя" </t>
  </si>
  <si>
    <t>4719022995</t>
  </si>
  <si>
    <t>ЗАО "Агрокомплекс "Оредеж"</t>
  </si>
  <si>
    <t>4719000303</t>
  </si>
  <si>
    <t>ЗАО "Гатчинский ККЗ"</t>
  </si>
  <si>
    <t>4719001508</t>
  </si>
  <si>
    <t>4719005051</t>
  </si>
  <si>
    <t>ЗАО "Искра"</t>
  </si>
  <si>
    <t>4705035056</t>
  </si>
  <si>
    <t>ЗАО "Племенной завод "Черново"</t>
  </si>
  <si>
    <t>4719006714</t>
  </si>
  <si>
    <t>ЗАО "Племзавод "Большевик"</t>
  </si>
  <si>
    <t>4705055670</t>
  </si>
  <si>
    <t>ООО "Галактика"</t>
  </si>
  <si>
    <t>4719009754</t>
  </si>
  <si>
    <t>ООО "Семеноводство"</t>
  </si>
  <si>
    <t>4719023950</t>
  </si>
  <si>
    <t xml:space="preserve">ООО "Славянка М" </t>
  </si>
  <si>
    <t>Субсидии на возмещение части процентной ставки по краткосрочным кредитам</t>
  </si>
  <si>
    <t>781661938609</t>
  </si>
  <si>
    <t>К(Ф)Х Поляков Дмитрий Валерьевич</t>
  </si>
  <si>
    <t>4711013477</t>
  </si>
  <si>
    <t>ООО "Агрофирма Рассвет"</t>
  </si>
  <si>
    <t>4711011078</t>
  </si>
  <si>
    <t>ООО "Оятское"</t>
  </si>
  <si>
    <t>4711012240</t>
  </si>
  <si>
    <t>ООО "Экоферма "Алеховщина"</t>
  </si>
  <si>
    <t>470901048677</t>
  </si>
  <si>
    <t>Лодейнопольский</t>
  </si>
  <si>
    <t>4720000315</t>
  </si>
  <si>
    <t>ЗАО "Кипень"</t>
  </si>
  <si>
    <t>4720001196</t>
  </si>
  <si>
    <t>ЗАО "Красносельское"</t>
  </si>
  <si>
    <t>4720003274</t>
  </si>
  <si>
    <t>ЗАО "Можайское"</t>
  </si>
  <si>
    <t>4720000114</t>
  </si>
  <si>
    <t xml:space="preserve">ЗАО "ПЗ "Красная Балтика" </t>
  </si>
  <si>
    <t>4720000474</t>
  </si>
  <si>
    <t>ЗАО "Победа"</t>
  </si>
  <si>
    <t>7838510820</t>
  </si>
  <si>
    <t>ООО "АГРОСТАНДАРТ"</t>
  </si>
  <si>
    <t>4720016033</t>
  </si>
  <si>
    <t>ООО "Племенная птицефабрика Лебяжье"</t>
  </si>
  <si>
    <t>4725482302</t>
  </si>
  <si>
    <t>ООО "СХП "Копорье"</t>
  </si>
  <si>
    <t>Ломоносовский</t>
  </si>
  <si>
    <t>4710022976</t>
  </si>
  <si>
    <t>АО "Волошово"</t>
  </si>
  <si>
    <t>4710003677</t>
  </si>
  <si>
    <t>ЗАО Племзавод "Рапти"</t>
  </si>
  <si>
    <t>471006326045</t>
  </si>
  <si>
    <t>К(Ф)Х Дебелый В.В.</t>
  </si>
  <si>
    <t>4710003331</t>
  </si>
  <si>
    <t>Крестьянское хозяйство "Александровка" Александров Владимир Павлович</t>
  </si>
  <si>
    <t>4710006893</t>
  </si>
  <si>
    <t xml:space="preserve">Крестьянское хозяйство "Лебедь" </t>
  </si>
  <si>
    <t>4710003839</t>
  </si>
  <si>
    <t>ОАО "Лужский комбикормовый завод"</t>
  </si>
  <si>
    <t>4710005265</t>
  </si>
  <si>
    <t>ОАО "Партизан"</t>
  </si>
  <si>
    <t>4710004180</t>
  </si>
  <si>
    <t>ОАО "Рассвет"</t>
  </si>
  <si>
    <t>4710021620</t>
  </si>
  <si>
    <t>ООО  "Племенной завод "Урожай"</t>
  </si>
  <si>
    <t>4710028657</t>
  </si>
  <si>
    <t>ООО "Агрохолдинг "Приозерный"</t>
  </si>
  <si>
    <t>4710031723</t>
  </si>
  <si>
    <t>ООО "ИДАВАНГ ЛУГА"</t>
  </si>
  <si>
    <t>7820012630</t>
  </si>
  <si>
    <t>ООО "НПС "Клевер"</t>
  </si>
  <si>
    <t>4710031410</t>
  </si>
  <si>
    <t>ООО "Правда"</t>
  </si>
  <si>
    <t>7840367832</t>
  </si>
  <si>
    <t>ООО "Труд"</t>
  </si>
  <si>
    <t>4710012590</t>
  </si>
  <si>
    <t>Общество с ограниченной ответственностью "Три Татьяны"</t>
  </si>
  <si>
    <t>4710001630</t>
  </si>
  <si>
    <t>СПК "Оредежский"</t>
  </si>
  <si>
    <t>Лужский</t>
  </si>
  <si>
    <t>4712003009</t>
  </si>
  <si>
    <t xml:space="preserve">АО  ПЗ "Раздолье" </t>
  </si>
  <si>
    <t>4712000350</t>
  </si>
  <si>
    <t>АО " ПЗ "Мельниково"</t>
  </si>
  <si>
    <t>4712002196</t>
  </si>
  <si>
    <t xml:space="preserve">АО "ПЗ "Первомайский" </t>
  </si>
  <si>
    <t>4712002990</t>
  </si>
  <si>
    <t>АО "ПЗ "Расцвет"</t>
  </si>
  <si>
    <t>4712002693</t>
  </si>
  <si>
    <t>АО "ПЗ Гражданский"</t>
  </si>
  <si>
    <t>4712000463</t>
  </si>
  <si>
    <t>АО "Судаково"</t>
  </si>
  <si>
    <t>4712010662</t>
  </si>
  <si>
    <t>АО ПЗ "Красноозерное"</t>
  </si>
  <si>
    <t>4712000216</t>
  </si>
  <si>
    <t>АО ПЗ "Петровский"</t>
  </si>
  <si>
    <t>4712001001</t>
  </si>
  <si>
    <t xml:space="preserve">ЗАО ПЗ "Красноармейский" </t>
  </si>
  <si>
    <t>4712023414</t>
  </si>
  <si>
    <t>ООО "Урожайное"</t>
  </si>
  <si>
    <t>7841452382</t>
  </si>
  <si>
    <t>ООО "Яровое"</t>
  </si>
  <si>
    <t>Итого</t>
  </si>
  <si>
    <t>Наименование хозяйств</t>
  </si>
  <si>
    <t>ИНН</t>
  </si>
  <si>
    <t>470103512535</t>
  </si>
  <si>
    <t>К(Ф) Х Тихонов Сергей Валериевич</t>
  </si>
  <si>
    <t>4715029534</t>
  </si>
  <si>
    <t>К(Ф)Х "Катумские овцы"</t>
  </si>
  <si>
    <t>470101066853</t>
  </si>
  <si>
    <t>К(Ф)Х Тихонов Александр Валериевич</t>
  </si>
  <si>
    <t>4701006544</t>
  </si>
  <si>
    <t>Крестьянское хозяйство Киселева Николая Николаевича</t>
  </si>
  <si>
    <t>ООО "Волна"</t>
  </si>
  <si>
    <t>4715025459</t>
  </si>
  <si>
    <t>ООО "Круглый год"</t>
  </si>
  <si>
    <t>Бокситогорский</t>
  </si>
  <si>
    <t>4717001460</t>
  </si>
  <si>
    <t>АО "ПЗ "Торосово"</t>
  </si>
  <si>
    <t>4717000837</t>
  </si>
  <si>
    <t>ЗАО  "Сумино"</t>
  </si>
  <si>
    <t>4717000812</t>
  </si>
  <si>
    <t>ЗАО "Октябрьское"</t>
  </si>
  <si>
    <t>4717000611</t>
  </si>
  <si>
    <t>ЗАО "ПЗ" Рабитицы"</t>
  </si>
  <si>
    <t>4717000636</t>
  </si>
  <si>
    <t>ЗАО "Племзавод "Гомонтово"</t>
  </si>
  <si>
    <t>4717000379</t>
  </si>
  <si>
    <t xml:space="preserve">ЗАО "Племзавод "Ленинский путь" </t>
  </si>
  <si>
    <t>4717001044</t>
  </si>
  <si>
    <t>ЗАО "СЕЛЬЦО"</t>
  </si>
  <si>
    <t>471700092886</t>
  </si>
  <si>
    <t>Крестьянское (фермерское) хозяйство Пантелеева Б.М.</t>
  </si>
  <si>
    <t>4717009170</t>
  </si>
  <si>
    <t>ООО "АгроИнтер"</t>
  </si>
  <si>
    <t>7816211986</t>
  </si>
  <si>
    <t>4705056874</t>
  </si>
  <si>
    <t>ООО "Остроговицы"</t>
  </si>
  <si>
    <t>4705058624</t>
  </si>
  <si>
    <t>ООО "Рос Агро"</t>
  </si>
  <si>
    <t>4705056923</t>
  </si>
  <si>
    <t>ООО "СП "Сяглицы"</t>
  </si>
  <si>
    <t>4717001100</t>
  </si>
  <si>
    <t xml:space="preserve">ФГУП "Каложицы" </t>
  </si>
  <si>
    <t>4718001110</t>
  </si>
  <si>
    <t>АО "Алексино"</t>
  </si>
  <si>
    <t>4718001150</t>
  </si>
  <si>
    <t>АО "Заречье"</t>
  </si>
  <si>
    <t>4702018574</t>
  </si>
  <si>
    <t>АО "ПЗ "Мыслинский"</t>
  </si>
  <si>
    <t>4718000935</t>
  </si>
  <si>
    <t>ЗАО "Волховское"</t>
  </si>
  <si>
    <t>4702017549</t>
  </si>
  <si>
    <t>ООО "Племенной завод "Новоладожский"</t>
  </si>
  <si>
    <t>4702046892</t>
  </si>
  <si>
    <t>ООО "Рассвет плюс"</t>
  </si>
  <si>
    <t>4702006113</t>
  </si>
  <si>
    <t>ООО "ФЕРМА"</t>
  </si>
  <si>
    <t>Волховский</t>
  </si>
  <si>
    <t>4703007832</t>
  </si>
  <si>
    <t>АО  "Совхоз Всеволожский"</t>
  </si>
  <si>
    <t>4703003595</t>
  </si>
  <si>
    <t xml:space="preserve">ЗАО "Племенной завод Приневское" </t>
  </si>
  <si>
    <t>4703006839</t>
  </si>
  <si>
    <t>ЗАО Агрофирма "Выборжец"</t>
  </si>
  <si>
    <t>Приозерский</t>
  </si>
  <si>
    <t>4713000025</t>
  </si>
  <si>
    <t>АО "Родина"</t>
  </si>
  <si>
    <t>4713000770</t>
  </si>
  <si>
    <t>ЗАО "Осьминское"</t>
  </si>
  <si>
    <t>Сланцевский</t>
  </si>
  <si>
    <t>4715002099</t>
  </si>
  <si>
    <t>АО "КУЛЬТУРА-АГРО"</t>
  </si>
  <si>
    <t>4715003007</t>
  </si>
  <si>
    <t>ЗАО "Сельхозпредприятие Андреевское"</t>
  </si>
  <si>
    <t>471504529746</t>
  </si>
  <si>
    <t>К(Ф)Х Власова Юрия Владимировича</t>
  </si>
  <si>
    <t>4715030410</t>
  </si>
  <si>
    <t>ООО "СП "Пашозерское"</t>
  </si>
  <si>
    <t>Тихвинский</t>
  </si>
  <si>
    <t>4716000496</t>
  </si>
  <si>
    <t>ЗАО "Племхоз имени Тельмана"</t>
  </si>
  <si>
    <t>471609030552</t>
  </si>
  <si>
    <t>К(Ф)Х Ширалиев Сеймур Октай оглы</t>
  </si>
  <si>
    <t>4716022524</t>
  </si>
  <si>
    <t>ООО "Агрохолдинг"Пулковский"</t>
  </si>
  <si>
    <t>4716029840</t>
  </si>
  <si>
    <t>ООО "ИДАВАНГ АГРО"</t>
  </si>
  <si>
    <t>4716020534</t>
  </si>
  <si>
    <t>ООО "МПК Тосненский"</t>
  </si>
  <si>
    <t>Тосненский</t>
  </si>
  <si>
    <t xml:space="preserve">Субсидии на оказание несвязанной поддержки сельскохозяйственным товаропроизводителям в области растениеводства  </t>
  </si>
  <si>
    <t xml:space="preserve">Субсидии на поддержку племенного животноводства </t>
  </si>
  <si>
    <t xml:space="preserve">Субсидии на возмещение части затрат на приобретение с/х техники и оборудования для с/х производства </t>
  </si>
  <si>
    <t xml:space="preserve">Субсидии на возмещение части процентной ставки по инвестиционным  кредитам (займам) </t>
  </si>
  <si>
    <t>4719018438</t>
  </si>
  <si>
    <t>СПК "Кобраловский"</t>
  </si>
  <si>
    <t>Гатчинский</t>
  </si>
  <si>
    <t>4707001302</t>
  </si>
  <si>
    <t>АО "Ополье"</t>
  </si>
  <si>
    <t>Кингисеппский</t>
  </si>
  <si>
    <t>4708000051</t>
  </si>
  <si>
    <t>ЗАО "Березовское"</t>
  </si>
  <si>
    <t>470800127442</t>
  </si>
  <si>
    <t>К(Ф)Х Захарова Н.Н.</t>
  </si>
  <si>
    <t>782600519200</t>
  </si>
  <si>
    <t>К(Ф)Х Москвин Александр Анатольевич</t>
  </si>
  <si>
    <t>4708012561</t>
  </si>
  <si>
    <t>СПК "Будогощь"</t>
  </si>
  <si>
    <t>4708002620</t>
  </si>
  <si>
    <t>СПК "Осничевский"</t>
  </si>
  <si>
    <t>Киришский</t>
  </si>
  <si>
    <t>4706002688</t>
  </si>
  <si>
    <t>АО "Птицефабрика "Северная"</t>
  </si>
  <si>
    <t>4706001780</t>
  </si>
  <si>
    <t>ЗАО "Птицефабрика Синявинская имени 60-летия Союза ССР"</t>
  </si>
  <si>
    <t>470600005327</t>
  </si>
  <si>
    <t>К(Ф)Х Быков Алексей Дмитриевич</t>
  </si>
  <si>
    <t>470600009593</t>
  </si>
  <si>
    <t>Крестьянское хозяйство Пичугин Анатолий Анатольевич</t>
  </si>
  <si>
    <t>4706018550</t>
  </si>
  <si>
    <t>СПК "Дальняя Поляна"</t>
  </si>
  <si>
    <t>Кировский</t>
  </si>
  <si>
    <t>470901529807</t>
  </si>
  <si>
    <t>К (Ф) Х  Майдаков Олег Александрович</t>
  </si>
  <si>
    <t>470903124806</t>
  </si>
  <si>
    <t>К (Ф) Х Поречин Сергей Сергеевич</t>
  </si>
  <si>
    <t>470900048554</t>
  </si>
  <si>
    <t>К(Ф)Х Бондарь Иван Ефимович</t>
  </si>
  <si>
    <t>470901530859</t>
  </si>
  <si>
    <t>К(Ф)Х Борисов Дмитрий Петрович</t>
  </si>
  <si>
    <t>470900078171</t>
  </si>
  <si>
    <t>К(Ф)Х Боричев Константин Валентинович</t>
  </si>
  <si>
    <t>470901610159</t>
  </si>
  <si>
    <t>К(Ф)Х Ивков Андрей Николаевич</t>
  </si>
  <si>
    <t>471103872787</t>
  </si>
  <si>
    <t>К(Ф)Х Любчика Юрия Борисовича</t>
  </si>
  <si>
    <t>Информация</t>
  </si>
  <si>
    <t>052801667352</t>
  </si>
  <si>
    <t>К(Ф)Х Трунов Михаил Юрьевич</t>
  </si>
  <si>
    <t>470103154880</t>
  </si>
  <si>
    <t xml:space="preserve">К(Ф)Х Хаджаев Шамиль Магомедович </t>
  </si>
  <si>
    <t>780153567929</t>
  </si>
  <si>
    <t>ООО "АгроСервис"</t>
  </si>
  <si>
    <t>4715027752</t>
  </si>
  <si>
    <t>АО "Ущевицы"</t>
  </si>
  <si>
    <t>4717000403</t>
  </si>
  <si>
    <t xml:space="preserve">ИП Глава К(Ф)Х Ладыка Мария Юрьевна </t>
  </si>
  <si>
    <t>781429247374</t>
  </si>
  <si>
    <t>ИП Глава к(ф)х Кузьмин Сергей Владимирович</t>
  </si>
  <si>
    <t>471700264454</t>
  </si>
  <si>
    <t xml:space="preserve">К(Ф)Х Натекина И.А. </t>
  </si>
  <si>
    <t>781309760961</t>
  </si>
  <si>
    <t>К(Ф)Х Тинамагомедова А.К.</t>
  </si>
  <si>
    <t>471704063413</t>
  </si>
  <si>
    <t>К(Ф)Х Цой Станислав Сергеевич</t>
  </si>
  <si>
    <t>070302818661</t>
  </si>
  <si>
    <t>Калушенкова Анна Владимировна</t>
  </si>
  <si>
    <t>781106803970</t>
  </si>
  <si>
    <t>ОАО "Труд"</t>
  </si>
  <si>
    <t>4717001132</t>
  </si>
  <si>
    <t>ООО "Молочная культура"</t>
  </si>
  <si>
    <t>7813409970</t>
  </si>
  <si>
    <t>ООО "Семена Северо-Запада"</t>
  </si>
  <si>
    <t>4717008931</t>
  </si>
  <si>
    <t>4702013784</t>
  </si>
  <si>
    <t>ИП "Сиротина Л.В."</t>
  </si>
  <si>
    <t>471801021105</t>
  </si>
  <si>
    <t xml:space="preserve">ОАО "Комбинат "Волховхлеб" </t>
  </si>
  <si>
    <t>4718000318</t>
  </si>
  <si>
    <t>ООО "Пашское"</t>
  </si>
  <si>
    <t>4702009717</t>
  </si>
  <si>
    <t>К(Ф)Х Ксенофонтов Н. И.</t>
  </si>
  <si>
    <t>4703010257</t>
  </si>
  <si>
    <t>К(Ф)Х Мнацаканян Гаро Левонович</t>
  </si>
  <si>
    <t>470309873824</t>
  </si>
  <si>
    <t>ООО СХП "Катумы"</t>
  </si>
  <si>
    <t>4703027451</t>
  </si>
  <si>
    <t>ФХ Сенькова М.А.</t>
  </si>
  <si>
    <t>4703007568</t>
  </si>
  <si>
    <t>ЗАО "Карельский"</t>
  </si>
  <si>
    <t>4704002259</t>
  </si>
  <si>
    <t>ИП Калганов Владимир Николаевич-глава К(Ф)Х</t>
  </si>
  <si>
    <t>781490309220</t>
  </si>
  <si>
    <t>К(Ф)Х  Кашеев Исидор Константинович</t>
  </si>
  <si>
    <t>470405267752</t>
  </si>
  <si>
    <t>К(Ф)Х Чжан Эдуард Юрьевич</t>
  </si>
  <si>
    <t>470401427476</t>
  </si>
  <si>
    <t xml:space="preserve">КХ "Алакюль-3" Воробьев Николай Николаевич </t>
  </si>
  <si>
    <t>4704019679</t>
  </si>
  <si>
    <t>Лозицкий Денис Алексеевич</t>
  </si>
  <si>
    <t>470422192722</t>
  </si>
  <si>
    <t>Максимов Николай Иванович  - глава К(Ф)Х "Мечта"</t>
  </si>
  <si>
    <t>470407172263</t>
  </si>
  <si>
    <t>ООО "АГРОЛИДЕР"</t>
  </si>
  <si>
    <t>4704094348</t>
  </si>
  <si>
    <t>ООО "Радужное"</t>
  </si>
  <si>
    <t>4704062152</t>
  </si>
  <si>
    <t>ООО "Расватту"</t>
  </si>
  <si>
    <t>4704099730</t>
  </si>
  <si>
    <t xml:space="preserve">ООО "Рыбстандарт" </t>
  </si>
  <si>
    <t>4704046489</t>
  </si>
  <si>
    <t>Глава К (Ф)Х  Алексеев Александр Анатольевич</t>
  </si>
  <si>
    <t>471904409436</t>
  </si>
  <si>
    <t>ЗАО "Орлинское"</t>
  </si>
  <si>
    <t>4719001890</t>
  </si>
  <si>
    <t>К(Ф)Х  Власюк Виталий Анатольевич</t>
  </si>
  <si>
    <t>471702513917</t>
  </si>
  <si>
    <t>К(Ф)Х Безденежных  Сергей Владимирович</t>
  </si>
  <si>
    <t>471905795047</t>
  </si>
  <si>
    <t>К(Ф)Х Колесникова Дмитрия Андреевича</t>
  </si>
  <si>
    <t>781013446884</t>
  </si>
  <si>
    <t>К(Ф)Х Кулюдина Виктория Владимировна</t>
  </si>
  <si>
    <t>471905599638</t>
  </si>
  <si>
    <t>К(Ф)Х Курбанова Сайпуллы Гасановича</t>
  </si>
  <si>
    <t>050201523531</t>
  </si>
  <si>
    <t>К(Ф)Х Пирогова Александра Станиславовича</t>
  </si>
  <si>
    <t>471910076200</t>
  </si>
  <si>
    <t>К(Ф)Х Пухлякова Лариса Николаевна</t>
  </si>
  <si>
    <t>381107173092</t>
  </si>
  <si>
    <t>К(Ф)Х Седаков Алексей Сергеевич</t>
  </si>
  <si>
    <t>471900055000</t>
  </si>
  <si>
    <t>ООО "Ижора"</t>
  </si>
  <si>
    <t>4705051570</t>
  </si>
  <si>
    <t>ООО "Суйдинское"</t>
  </si>
  <si>
    <t>4705067837</t>
  </si>
  <si>
    <t>Первушин Вячеслав Николаевич</t>
  </si>
  <si>
    <t>290706228867</t>
  </si>
  <si>
    <t>АО "Племзавод "Агро-Балт"</t>
  </si>
  <si>
    <t>4707001870</t>
  </si>
  <si>
    <t>Глава крестьянского (фермерского) хозяйства  Бирюков Ю. В. "Бирюса"</t>
  </si>
  <si>
    <t>470700985341</t>
  </si>
  <si>
    <t>470700070224</t>
  </si>
  <si>
    <t>ООО "Агрокомплекс Домашово"</t>
  </si>
  <si>
    <t>4707031770</t>
  </si>
  <si>
    <t>Глава К(Ф)Х  Перетин Владимир  Алексеевич</t>
  </si>
  <si>
    <t>470800033949</t>
  </si>
  <si>
    <t>К(Ф)Х Ниёзматова Бурхонидина Имомединовича</t>
  </si>
  <si>
    <t>402809597307</t>
  </si>
  <si>
    <t>ООО "Племзавод "Детскосельский"</t>
  </si>
  <si>
    <t>4716038919</t>
  </si>
  <si>
    <t>ИП Нестеров С.А.</t>
  </si>
  <si>
    <t>780607372602</t>
  </si>
  <si>
    <t>К(Ф)Х Завьялов Юрий Михайлович</t>
  </si>
  <si>
    <t>470600061184</t>
  </si>
  <si>
    <t>К(Ф)Х Кленова Дмитрия Викторовича</t>
  </si>
  <si>
    <t>470604708345</t>
  </si>
  <si>
    <t>К(Ф)Х Скребневой Евгении Альбертовны</t>
  </si>
  <si>
    <t>470604676703</t>
  </si>
  <si>
    <t>Крестьянское (фермерское) хозяйство Голубева С.А.</t>
  </si>
  <si>
    <t>470600107495</t>
  </si>
  <si>
    <t>Крестьянское (фермерское) хозяйство Плющев Юрий Вячеславович</t>
  </si>
  <si>
    <t>781124331078</t>
  </si>
  <si>
    <t>470601147941</t>
  </si>
  <si>
    <t xml:space="preserve">ООО "Всеволожская селекционная станция" </t>
  </si>
  <si>
    <t>4706037680</t>
  </si>
  <si>
    <t xml:space="preserve">Глава крестьянского (фермерского) хозяйства Майдаков Александр Николаевич </t>
  </si>
  <si>
    <t>470900486124</t>
  </si>
  <si>
    <t xml:space="preserve">К(Ф)Х  Мокеев Олег Вячеславович  </t>
  </si>
  <si>
    <t>470900045666</t>
  </si>
  <si>
    <t>К(Ф)Х  Мокеева Елена Анатольевна</t>
  </si>
  <si>
    <t>470900048160</t>
  </si>
  <si>
    <t>Крестьянское (фермерское) хозяйство Безгина Ольга Ивановна</t>
  </si>
  <si>
    <t>470520152397</t>
  </si>
  <si>
    <t>Шишикин Александр Анатольевич</t>
  </si>
  <si>
    <t>471704333388</t>
  </si>
  <si>
    <t>ООО "Серебрянка"</t>
  </si>
  <si>
    <t>4710032692</t>
  </si>
  <si>
    <t>ООО Зверохозяйство "Лужское"</t>
  </si>
  <si>
    <t>4710032822</t>
  </si>
  <si>
    <t>К(Ф)Х "Подворье портовое"</t>
  </si>
  <si>
    <t>4712026197</t>
  </si>
  <si>
    <t>К(Ф)Х Попкова Виктория Алексеевна</t>
  </si>
  <si>
    <t>471203033190</t>
  </si>
  <si>
    <t>Крестьянское хозяйство "Бакана В.В."</t>
  </si>
  <si>
    <t>4712007162</t>
  </si>
  <si>
    <t>ООО "СХП "КУЗНЕЧНОЕ"</t>
  </si>
  <si>
    <t>4712021544</t>
  </si>
  <si>
    <t>Санкт-Петербург</t>
  </si>
  <si>
    <t>Лебедева Нина Сергеевна</t>
  </si>
  <si>
    <t>443000378228</t>
  </si>
  <si>
    <t>К(Ф)Х Борсукова Алексея Александровича</t>
  </si>
  <si>
    <t>781710563232</t>
  </si>
  <si>
    <t>К(Ф)Х Пак Вероники Мироновны</t>
  </si>
  <si>
    <t>070302969822</t>
  </si>
  <si>
    <t>К(Ф)Х Сартаков Р.С.</t>
  </si>
  <si>
    <t>041105550739</t>
  </si>
  <si>
    <t>ООО "Лапландия"</t>
  </si>
  <si>
    <t>4715029654</t>
  </si>
  <si>
    <t>Чижева Светлана Викторовна</t>
  </si>
  <si>
    <t>471504912821</t>
  </si>
  <si>
    <t>АО "ЛЮБАНЬ"</t>
  </si>
  <si>
    <t>4716000489</t>
  </si>
  <si>
    <t>ООО "АЛЬМА"</t>
  </si>
  <si>
    <t>4716041380</t>
  </si>
  <si>
    <t>ООО "Петрохолод. Аграрные технологии"</t>
  </si>
  <si>
    <t>4716018870</t>
  </si>
  <si>
    <t>ООО "СП "Восход"</t>
  </si>
  <si>
    <t>4716015781</t>
  </si>
  <si>
    <t>ООО София</t>
  </si>
  <si>
    <t>4716013512</t>
  </si>
  <si>
    <t>нет</t>
  </si>
  <si>
    <t>ООО "Ингерманландская земледельческая школа"</t>
  </si>
  <si>
    <t>7820003210</t>
  </si>
  <si>
    <t>ООО "РЦ "Плинор"</t>
  </si>
  <si>
    <t>7820022050</t>
  </si>
  <si>
    <t>Открытое акционерное общество "Газета "Вести"</t>
  </si>
  <si>
    <t>4703042040</t>
  </si>
  <si>
    <t xml:space="preserve">Субсидии на возмещение части затрат на пр-во семян многолетних трав </t>
  </si>
  <si>
    <t xml:space="preserve">Субсидии на возмещение части затрат на приобретение оригин. и репродукц-х семян </t>
  </si>
  <si>
    <t>Субсидии на возмещение части затрат на пр-во племенных яиц</t>
  </si>
  <si>
    <t>Субсидии на повышение продуктивности в молочном скотоводстве</t>
  </si>
  <si>
    <t>Субсидии на поддержку пр-ва мяса КРС</t>
  </si>
  <si>
    <t>Субсидии на приобретение плем.молодняка норок</t>
  </si>
  <si>
    <t>Субсидии на приобретение кормов для клеточных пушных зверей</t>
  </si>
  <si>
    <t>Субсидии на содержание основных свиноматок</t>
  </si>
  <si>
    <t>Субсидии на возмещение части затрат на пр-во продукции рыболовства</t>
  </si>
  <si>
    <t>Субсидии на возмещение части затрат на приобретение кормов для рыб</t>
  </si>
  <si>
    <t>Субсидии на возмещение части затрат на стр-во и модернизацию АПК</t>
  </si>
  <si>
    <t>Субсидии на возмещение части затрат по договорам с/х страхования</t>
  </si>
  <si>
    <t>Социальная поддержка молодых специалистов</t>
  </si>
  <si>
    <t>Поддержка на оказание консультационной помощи</t>
  </si>
  <si>
    <t xml:space="preserve">Субсидии на возмещение части затрат на повышение квалификавции кадров </t>
  </si>
  <si>
    <t>Прочие мероприятия</t>
  </si>
  <si>
    <t xml:space="preserve">Субсидии на возмещение части затрат при проведении мероприятий регионального значения </t>
  </si>
  <si>
    <t xml:space="preserve"> Возмещение части затрат по строительству,реконструкции, капитальному ремонту автомобильных дорог, связывающих объекты с/х назначения </t>
  </si>
  <si>
    <t>Субсидии на мероприятия по борьбе с борщевиком Сосновского</t>
  </si>
  <si>
    <t>Капитальный ремонт мелиоративных систем</t>
  </si>
  <si>
    <t>Разработка проектно-сметной документации на капитальный ремонт, реконструкцию мелиоративных систем</t>
  </si>
  <si>
    <t>Реконструкция мелиоративных систем</t>
  </si>
  <si>
    <t>Культуртехнические мероприятия</t>
  </si>
  <si>
    <t>АО "Гатчинское"</t>
  </si>
  <si>
    <t>АО "Новая Голландия"</t>
  </si>
  <si>
    <t>Билалов Рамис Ринатович</t>
  </si>
  <si>
    <t>638140363526</t>
  </si>
  <si>
    <t>ГКФХ Степаненко Анастасия Сергеевна</t>
  </si>
  <si>
    <t>Глава крестьянского (фермерского) хозяйства Алексеницер Ольга Васильевна</t>
  </si>
  <si>
    <t>781014972047</t>
  </si>
  <si>
    <t>Глава крестьянского (фермерского) хозяйства Магомедов Абдула Мурадович</t>
  </si>
  <si>
    <t>054306977201</t>
  </si>
  <si>
    <t>Глава крестьянского (фермерского) хозяйства Михайлов Владимир Викторович</t>
  </si>
  <si>
    <t>Глава крестьянского (фермерского) хозяйства Чака Татьяна Николаевна</t>
  </si>
  <si>
    <t>471300050867</t>
  </si>
  <si>
    <t xml:space="preserve">Иванов Игорь Михайлович </t>
  </si>
  <si>
    <t>781701229369</t>
  </si>
  <si>
    <t>Индивидуальный предприниматель Глава Крестьянского (фермерского) хозяйства Доброхотов Алексей Владимирович</t>
  </si>
  <si>
    <t>471908499511</t>
  </si>
  <si>
    <t>Индивидуальный предприниматель Глава крестьянского (фермерского) хозяйства Парачев Алексей Александрович</t>
  </si>
  <si>
    <t>470710290902</t>
  </si>
  <si>
    <t>Индивидуальный предприниматель Глава крестьянского (фермерского) хозяйства Уланова Галина Викторовна</t>
  </si>
  <si>
    <t>471300626558</t>
  </si>
  <si>
    <t>Индивидуальный предприниматель глава крестьянского (фермерского) хозяйства Иванова Юлия Анатольевна</t>
  </si>
  <si>
    <t>780520266409</t>
  </si>
  <si>
    <t>Крестьянское хозяйство "Приручейная долина" Горонка М.Д.</t>
  </si>
  <si>
    <t>4712001957</t>
  </si>
  <si>
    <t>Ладкин Андрей Сергеевич</t>
  </si>
  <si>
    <t>471206333956</t>
  </si>
  <si>
    <t>Молькова Оксана Радиковна</t>
  </si>
  <si>
    <t>370229025336</t>
  </si>
  <si>
    <t>ООО "АГРОИННОВАЦИЯ"</t>
  </si>
  <si>
    <t>4710012706</t>
  </si>
  <si>
    <t>ООО "АГРОФИРМА"</t>
  </si>
  <si>
    <t>4706004117</t>
  </si>
  <si>
    <t>ООО "Приморский рыбак"</t>
  </si>
  <si>
    <t>4703032557</t>
  </si>
  <si>
    <t>ООО "Причал"</t>
  </si>
  <si>
    <t>4702011201</t>
  </si>
  <si>
    <t>ООО "НПО "НЕОПРИНТ"</t>
  </si>
  <si>
    <t>7841345341</t>
  </si>
  <si>
    <t>Пиличев Алексей Николаевич</t>
  </si>
  <si>
    <t>782001475466</t>
  </si>
  <si>
    <t>Пушкина Валерия Сергеевна</t>
  </si>
  <si>
    <t>471504568590</t>
  </si>
  <si>
    <t>Смирнова Оксана Алексеевна</t>
  </si>
  <si>
    <t>780254675335</t>
  </si>
  <si>
    <t>Снежков Николай Александрович</t>
  </si>
  <si>
    <t>471304824737</t>
  </si>
  <si>
    <t>Чаплинская Татьяна Михайловна</t>
  </si>
  <si>
    <t>245730894897</t>
  </si>
  <si>
    <t>Крестьянское (фермерское) хозяйство Шайдецкого И.С.</t>
  </si>
  <si>
    <t>Шевчук Иван Викторович</t>
  </si>
  <si>
    <t>261805838810</t>
  </si>
  <si>
    <t>Глава крестьянского (фермерского) хозяйства Магомедов Магомед  Ахмедович</t>
  </si>
  <si>
    <t>ООО "Племзавод "Бугры"</t>
  </si>
  <si>
    <t>4703146113</t>
  </si>
  <si>
    <t>о финансировании сельхозтоваропроизводителей Ленинградской области за 2 полугодие 2017 года, рублей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</si>
</sst>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#,##0.00_ ;[Red]\-#,##0.00\ 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Times New Roman"/>
      <family val="1"/>
    </font>
    <font>
      <b/>
      <sz val="10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vertical="top" wrapText="1"/>
    </xf>
    <xf numFmtId="0" fontId="2" fillId="0" borderId="14" xfId="0" applyFont="1" applyBorder="1" applyAlignment="1">
      <alignment/>
    </xf>
    <xf numFmtId="3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3" fontId="3" fillId="33" borderId="10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center" vertical="center" wrapText="1"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3" fontId="0" fillId="0" borderId="10" xfId="0" applyNumberFormat="1" applyBorder="1" applyAlignment="1">
      <alignment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86"/>
  <sheetViews>
    <sheetView showZeros="0" tabSelected="1" zoomScale="130" zoomScaleNormal="130" zoomScalePageLayoutView="0" workbookViewId="0" topLeftCell="A1">
      <selection activeCell="C6" sqref="C6"/>
    </sheetView>
  </sheetViews>
  <sheetFormatPr defaultColWidth="9.00390625" defaultRowHeight="12.75"/>
  <cols>
    <col min="1" max="1" width="22.75390625" style="11" customWidth="1"/>
    <col min="2" max="2" width="9.00390625" style="11" customWidth="1"/>
    <col min="3" max="4" width="10.25390625" style="10" customWidth="1"/>
    <col min="5" max="5" width="10.625" style="10" customWidth="1"/>
    <col min="6" max="6" width="9.25390625" style="10" customWidth="1"/>
    <col min="7" max="7" width="10.25390625" style="10" customWidth="1"/>
    <col min="8" max="9" width="9.875" style="10" customWidth="1"/>
    <col min="10" max="11" width="9.625" style="10" customWidth="1"/>
    <col min="12" max="12" width="8.75390625" style="10" customWidth="1"/>
    <col min="13" max="14" width="9.625" style="10" customWidth="1"/>
    <col min="15" max="15" width="11.00390625" style="10" customWidth="1"/>
    <col min="16" max="19" width="9.625" style="10" customWidth="1"/>
    <col min="20" max="21" width="8.25390625" style="10" customWidth="1"/>
    <col min="22" max="22" width="7.25390625" style="10" customWidth="1"/>
    <col min="23" max="24" width="9.625" style="10" customWidth="1"/>
    <col min="25" max="25" width="0.12890625" style="10" customWidth="1"/>
    <col min="26" max="26" width="9.125" style="10" customWidth="1"/>
    <col min="27" max="28" width="9.625" style="10" customWidth="1"/>
    <col min="29" max="29" width="8.875" style="10" customWidth="1"/>
    <col min="30" max="30" width="8.00390625" style="0" customWidth="1"/>
    <col min="31" max="31" width="10.625" style="0" customWidth="1"/>
    <col min="32" max="32" width="2.625" style="0" customWidth="1"/>
    <col min="33" max="33" width="3.00390625" style="0" customWidth="1"/>
    <col min="34" max="34" width="2.875" style="0" customWidth="1"/>
    <col min="35" max="35" width="3.25390625" style="0" customWidth="1"/>
    <col min="36" max="37" width="2.875" style="0" customWidth="1"/>
    <col min="38" max="68" width="2.375" style="0" customWidth="1"/>
    <col min="69" max="69" width="3.625" style="0" customWidth="1"/>
    <col min="70" max="71" width="3.25390625" style="0" customWidth="1"/>
    <col min="72" max="72" width="5.125" style="0" customWidth="1"/>
    <col min="73" max="73" width="4.75390625" style="0" customWidth="1"/>
  </cols>
  <sheetData>
    <row r="1" spans="1:29" ht="13.5" customHeight="1">
      <c r="A1" s="39" t="s">
        <v>271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3.5" customHeight="1">
      <c r="A2" s="40" t="s">
        <v>519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ht="11.25" customHeight="1">
      <c r="A4" s="16"/>
      <c r="B4" s="16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0"/>
      <c r="S4" s="20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ht="12.75" customHeight="1">
      <c r="A5" s="16"/>
      <c r="B5" s="16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0"/>
      <c r="S5" s="20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ht="12.75" customHeight="1">
      <c r="A6" s="16"/>
      <c r="B6" s="1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0"/>
      <c r="S6" s="20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 customHeight="1">
      <c r="A7" s="16"/>
      <c r="B7" s="1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0"/>
      <c r="S7" s="20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2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"/>
      <c r="S8" s="20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s="1" customFormat="1" ht="13.5" customHeight="1">
      <c r="A9" s="12"/>
      <c r="B9" s="12"/>
      <c r="C9" s="9"/>
      <c r="D9" s="9"/>
      <c r="E9" s="17"/>
      <c r="F9" s="1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31" s="21" customFormat="1" ht="111.75" customHeight="1">
      <c r="A10" s="13" t="s">
        <v>137</v>
      </c>
      <c r="B10" s="13" t="s">
        <v>138</v>
      </c>
      <c r="C10" s="23" t="s">
        <v>442</v>
      </c>
      <c r="D10" s="23" t="s">
        <v>443</v>
      </c>
      <c r="E10" s="23" t="s">
        <v>225</v>
      </c>
      <c r="F10" s="23" t="s">
        <v>444</v>
      </c>
      <c r="G10" s="23" t="s">
        <v>445</v>
      </c>
      <c r="H10" s="34" t="s">
        <v>446</v>
      </c>
      <c r="I10" s="23" t="s">
        <v>447</v>
      </c>
      <c r="J10" s="23" t="s">
        <v>448</v>
      </c>
      <c r="K10" s="23" t="s">
        <v>449</v>
      </c>
      <c r="L10" s="23" t="s">
        <v>450</v>
      </c>
      <c r="M10" s="23" t="s">
        <v>451</v>
      </c>
      <c r="N10" s="23" t="s">
        <v>227</v>
      </c>
      <c r="O10" s="34" t="s">
        <v>228</v>
      </c>
      <c r="P10" s="23" t="s">
        <v>452</v>
      </c>
      <c r="Q10" s="34" t="s">
        <v>453</v>
      </c>
      <c r="R10" s="34" t="s">
        <v>53</v>
      </c>
      <c r="S10" s="23" t="s">
        <v>226</v>
      </c>
      <c r="T10" s="23" t="s">
        <v>455</v>
      </c>
      <c r="U10" s="23" t="s">
        <v>456</v>
      </c>
      <c r="V10" s="23" t="s">
        <v>457</v>
      </c>
      <c r="W10" s="14" t="s">
        <v>458</v>
      </c>
      <c r="X10" s="14" t="s">
        <v>459</v>
      </c>
      <c r="Y10" s="14" t="s">
        <v>460</v>
      </c>
      <c r="Z10" s="14" t="s">
        <v>461</v>
      </c>
      <c r="AA10" s="14" t="s">
        <v>462</v>
      </c>
      <c r="AB10" s="14" t="s">
        <v>463</v>
      </c>
      <c r="AC10" s="14" t="s">
        <v>464</v>
      </c>
      <c r="AD10" s="23" t="s">
        <v>454</v>
      </c>
      <c r="AE10" s="13" t="s">
        <v>136</v>
      </c>
    </row>
    <row r="11" spans="1:31" s="1" customFormat="1" ht="11.25">
      <c r="A11" s="15"/>
      <c r="B11" s="22"/>
      <c r="C11" s="26"/>
      <c r="D11" s="26"/>
      <c r="E11" s="26"/>
      <c r="F11" s="26"/>
      <c r="G11" s="25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5"/>
      <c r="AE11" s="25"/>
    </row>
    <row r="12" spans="1:71" s="1" customFormat="1" ht="11.25">
      <c r="A12" s="18" t="s">
        <v>150</v>
      </c>
      <c r="B12" s="4"/>
      <c r="C12" s="27">
        <f aca="true" t="shared" si="0" ref="C12:AE12">SUM(C14:C48)</f>
        <v>2478168</v>
      </c>
      <c r="D12" s="27">
        <f t="shared" si="0"/>
        <v>688376</v>
      </c>
      <c r="E12" s="27">
        <f t="shared" si="0"/>
        <v>108903296</v>
      </c>
      <c r="F12" s="27">
        <f t="shared" si="0"/>
        <v>0</v>
      </c>
      <c r="G12" s="27">
        <f t="shared" si="0"/>
        <v>113145503</v>
      </c>
      <c r="H12" s="27">
        <f t="shared" si="0"/>
        <v>2905000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83735</v>
      </c>
      <c r="N12" s="27">
        <f t="shared" si="0"/>
        <v>20901388</v>
      </c>
      <c r="O12" s="27">
        <f t="shared" si="0"/>
        <v>84377271.59</v>
      </c>
      <c r="P12" s="27">
        <f t="shared" si="0"/>
        <v>0</v>
      </c>
      <c r="Q12" s="27">
        <f t="shared" si="0"/>
        <v>657770.48</v>
      </c>
      <c r="R12" s="27">
        <f t="shared" si="0"/>
        <v>12539</v>
      </c>
      <c r="S12" s="27">
        <f t="shared" si="0"/>
        <v>40329450</v>
      </c>
      <c r="T12" s="27">
        <f t="shared" si="0"/>
        <v>0</v>
      </c>
      <c r="U12" s="27">
        <f t="shared" si="0"/>
        <v>0</v>
      </c>
      <c r="V12" s="27">
        <f t="shared" si="0"/>
        <v>0</v>
      </c>
      <c r="W12" s="27">
        <f t="shared" si="0"/>
        <v>0</v>
      </c>
      <c r="X12" s="27">
        <f t="shared" si="0"/>
        <v>2716639</v>
      </c>
      <c r="Y12" s="27">
        <f t="shared" si="0"/>
        <v>0</v>
      </c>
      <c r="Z12" s="27">
        <f t="shared" si="0"/>
        <v>0</v>
      </c>
      <c r="AA12" s="27">
        <f t="shared" si="0"/>
        <v>0</v>
      </c>
      <c r="AB12" s="27">
        <f t="shared" si="0"/>
        <v>0</v>
      </c>
      <c r="AC12" s="27">
        <f t="shared" si="0"/>
        <v>0</v>
      </c>
      <c r="AD12" s="27">
        <f t="shared" si="0"/>
        <v>0</v>
      </c>
      <c r="AE12" s="27">
        <f t="shared" si="0"/>
        <v>377142708.07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31" s="1" customFormat="1" ht="11.25">
      <c r="A13" s="4"/>
      <c r="B13" s="4"/>
      <c r="C13" s="27"/>
      <c r="D13" s="27"/>
      <c r="E13" s="27"/>
      <c r="F13" s="27"/>
      <c r="G13" s="31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5"/>
      <c r="AE13" s="25">
        <f aca="true" t="shared" si="1" ref="AE13:AE25">SUM(C13:AD13)</f>
        <v>0</v>
      </c>
    </row>
    <row r="14" spans="1:31" s="6" customFormat="1" ht="10.5">
      <c r="A14" s="5" t="s">
        <v>140</v>
      </c>
      <c r="B14" s="5" t="s">
        <v>139</v>
      </c>
      <c r="C14" s="28"/>
      <c r="D14" s="28"/>
      <c r="E14" s="28">
        <v>282141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5"/>
      <c r="AE14" s="25">
        <f t="shared" si="1"/>
        <v>282141</v>
      </c>
    </row>
    <row r="15" spans="1:31" s="6" customFormat="1" ht="10.5">
      <c r="A15" s="5" t="s">
        <v>142</v>
      </c>
      <c r="B15" s="5" t="s">
        <v>141</v>
      </c>
      <c r="C15" s="28"/>
      <c r="D15" s="28"/>
      <c r="E15" s="28">
        <v>925187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5"/>
      <c r="AE15" s="25">
        <f t="shared" si="1"/>
        <v>925187</v>
      </c>
    </row>
    <row r="16" spans="1:31" s="6" customFormat="1" ht="21">
      <c r="A16" s="5" t="s">
        <v>144</v>
      </c>
      <c r="B16" s="5" t="s">
        <v>143</v>
      </c>
      <c r="C16" s="28"/>
      <c r="D16" s="28"/>
      <c r="E16" s="28">
        <v>169284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5"/>
      <c r="AE16" s="25">
        <f t="shared" si="1"/>
        <v>169284</v>
      </c>
    </row>
    <row r="17" spans="1:31" s="6" customFormat="1" ht="10.5">
      <c r="A17" s="5" t="s">
        <v>273</v>
      </c>
      <c r="B17" s="5" t="s">
        <v>274</v>
      </c>
      <c r="C17" s="28"/>
      <c r="D17" s="28"/>
      <c r="E17" s="28">
        <v>98749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5"/>
      <c r="AE17" s="25">
        <f t="shared" si="1"/>
        <v>98749</v>
      </c>
    </row>
    <row r="18" spans="1:31" s="6" customFormat="1" ht="21">
      <c r="A18" s="5" t="s">
        <v>275</v>
      </c>
      <c r="B18" s="5" t="s">
        <v>276</v>
      </c>
      <c r="C18" s="28"/>
      <c r="D18" s="28"/>
      <c r="E18" s="28">
        <v>56428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5"/>
      <c r="AE18" s="25">
        <f t="shared" si="1"/>
        <v>56428</v>
      </c>
    </row>
    <row r="19" spans="1:31" s="6" customFormat="1" ht="21">
      <c r="A19" s="5" t="s">
        <v>146</v>
      </c>
      <c r="B19" s="5" t="s">
        <v>145</v>
      </c>
      <c r="C19" s="28"/>
      <c r="D19" s="28"/>
      <c r="E19" s="28">
        <f>4127.6+37148.4+100159+61494</f>
        <v>202929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5"/>
      <c r="AE19" s="25">
        <f t="shared" si="1"/>
        <v>202929</v>
      </c>
    </row>
    <row r="20" spans="1:31" s="6" customFormat="1" ht="10.5">
      <c r="A20" s="5" t="s">
        <v>277</v>
      </c>
      <c r="B20" s="5" t="s">
        <v>278</v>
      </c>
      <c r="C20" s="28"/>
      <c r="D20" s="28"/>
      <c r="E20" s="28"/>
      <c r="F20" s="28"/>
      <c r="G20" s="28">
        <v>595587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5"/>
      <c r="AE20" s="25">
        <f t="shared" si="1"/>
        <v>595587</v>
      </c>
    </row>
    <row r="21" spans="1:31" s="6" customFormat="1" ht="10.5">
      <c r="A21" s="5" t="s">
        <v>149</v>
      </c>
      <c r="B21" s="5" t="s">
        <v>148</v>
      </c>
      <c r="C21" s="28"/>
      <c r="D21" s="28">
        <v>688376</v>
      </c>
      <c r="E21" s="28">
        <v>6896462</v>
      </c>
      <c r="F21" s="28"/>
      <c r="G21" s="28"/>
      <c r="H21" s="28"/>
      <c r="I21" s="28"/>
      <c r="J21" s="28"/>
      <c r="K21" s="28"/>
      <c r="L21" s="28"/>
      <c r="M21" s="28"/>
      <c r="N21" s="28"/>
      <c r="O21" s="28">
        <v>72040055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5"/>
      <c r="AE21" s="25">
        <f t="shared" si="1"/>
        <v>79624893</v>
      </c>
    </row>
    <row r="22" spans="1:31" s="6" customFormat="1" ht="10.5">
      <c r="A22" s="5" t="s">
        <v>152</v>
      </c>
      <c r="B22" s="5" t="s">
        <v>151</v>
      </c>
      <c r="C22" s="28">
        <v>135520</v>
      </c>
      <c r="D22" s="28"/>
      <c r="E22" s="28">
        <v>4674102</v>
      </c>
      <c r="F22" s="28"/>
      <c r="G22" s="28">
        <v>7465054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>
        <v>3675000</v>
      </c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5"/>
      <c r="AE22" s="25">
        <f t="shared" si="1"/>
        <v>15949676</v>
      </c>
    </row>
    <row r="23" spans="1:31" s="6" customFormat="1" ht="10.5">
      <c r="A23" s="5" t="s">
        <v>279</v>
      </c>
      <c r="B23" s="5" t="s">
        <v>280</v>
      </c>
      <c r="C23" s="28"/>
      <c r="D23" s="28"/>
      <c r="E23" s="28">
        <f>429685+3867165</f>
        <v>4296850</v>
      </c>
      <c r="F23" s="28"/>
      <c r="G23" s="28">
        <v>5656368</v>
      </c>
      <c r="H23" s="28">
        <v>301000</v>
      </c>
      <c r="I23" s="28"/>
      <c r="J23" s="28"/>
      <c r="K23" s="28"/>
      <c r="L23" s="28"/>
      <c r="M23" s="28"/>
      <c r="N23" s="28"/>
      <c r="O23" s="28"/>
      <c r="P23" s="28"/>
      <c r="Q23" s="28"/>
      <c r="R23" s="28">
        <f>2541+2932</f>
        <v>5473</v>
      </c>
      <c r="S23" s="28">
        <v>2940000</v>
      </c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5"/>
      <c r="AE23" s="25">
        <f t="shared" si="1"/>
        <v>13199691</v>
      </c>
    </row>
    <row r="24" spans="1:31" s="6" customFormat="1" ht="36" customHeight="1">
      <c r="A24" s="5" t="s">
        <v>470</v>
      </c>
      <c r="B24" s="5" t="s">
        <v>471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>
        <f>462350+53140</f>
        <v>515490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5"/>
      <c r="AE24" s="25">
        <f t="shared" si="1"/>
        <v>515490</v>
      </c>
    </row>
    <row r="25" spans="1:31" s="6" customFormat="1" ht="36" customHeight="1">
      <c r="A25" s="5" t="s">
        <v>472</v>
      </c>
      <c r="B25" s="5" t="s">
        <v>473</v>
      </c>
      <c r="C25" s="28"/>
      <c r="D25" s="28"/>
      <c r="E25" s="28"/>
      <c r="F25" s="28"/>
      <c r="G25" s="28"/>
      <c r="H25" s="28">
        <f>91000</f>
        <v>91000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5"/>
      <c r="AE25" s="25">
        <f t="shared" si="1"/>
        <v>91000</v>
      </c>
    </row>
    <row r="26" spans="1:31" s="6" customFormat="1" ht="36" customHeight="1">
      <c r="A26" s="5" t="s">
        <v>516</v>
      </c>
      <c r="B26" s="5" t="s">
        <v>272</v>
      </c>
      <c r="C26" s="28"/>
      <c r="D26" s="28"/>
      <c r="E26" s="28">
        <v>56428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5"/>
      <c r="AE26" s="25"/>
    </row>
    <row r="27" spans="1:31" s="6" customFormat="1" ht="10.5">
      <c r="A27" s="5" t="s">
        <v>154</v>
      </c>
      <c r="B27" s="5" t="s">
        <v>153</v>
      </c>
      <c r="C27" s="28"/>
      <c r="D27" s="28"/>
      <c r="E27" s="28">
        <v>4891936</v>
      </c>
      <c r="F27" s="28"/>
      <c r="G27" s="28">
        <v>9229905</v>
      </c>
      <c r="H27" s="28"/>
      <c r="I27" s="28"/>
      <c r="J27" s="28"/>
      <c r="K27" s="28"/>
      <c r="L27" s="28"/>
      <c r="M27" s="28"/>
      <c r="N27" s="28">
        <v>3600000</v>
      </c>
      <c r="O27" s="28"/>
      <c r="P27" s="28"/>
      <c r="Q27" s="28"/>
      <c r="R27" s="28">
        <f>526+4733+657</f>
        <v>5916</v>
      </c>
      <c r="S27" s="28">
        <f>490000+4410000</f>
        <v>4900000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5"/>
      <c r="AE27" s="25">
        <f aca="true" t="shared" si="2" ref="AE27:AE48">SUM(C27:AD27)</f>
        <v>22627757</v>
      </c>
    </row>
    <row r="28" spans="1:31" s="6" customFormat="1" ht="10.5">
      <c r="A28" s="5" t="s">
        <v>156</v>
      </c>
      <c r="B28" s="5" t="s">
        <v>155</v>
      </c>
      <c r="C28" s="28"/>
      <c r="D28" s="28"/>
      <c r="E28" s="28">
        <v>10790950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5"/>
      <c r="AE28" s="25">
        <f t="shared" si="2"/>
        <v>10790950</v>
      </c>
    </row>
    <row r="29" spans="1:31" s="6" customFormat="1" ht="10.5">
      <c r="A29" s="5" t="s">
        <v>158</v>
      </c>
      <c r="B29" s="5" t="s">
        <v>157</v>
      </c>
      <c r="C29" s="28">
        <v>720412</v>
      </c>
      <c r="D29" s="28"/>
      <c r="E29" s="28">
        <v>14555600</v>
      </c>
      <c r="F29" s="28"/>
      <c r="G29" s="28">
        <v>22151534</v>
      </c>
      <c r="H29" s="28">
        <v>903000</v>
      </c>
      <c r="I29" s="28"/>
      <c r="J29" s="28"/>
      <c r="K29" s="28"/>
      <c r="L29" s="28"/>
      <c r="M29" s="28"/>
      <c r="N29" s="28">
        <v>942090</v>
      </c>
      <c r="O29" s="28">
        <v>8627668.59</v>
      </c>
      <c r="P29" s="28"/>
      <c r="Q29" s="28">
        <f>41733.69+375603.25+176662.9</f>
        <v>593999.84</v>
      </c>
      <c r="R29" s="28"/>
      <c r="S29" s="28">
        <v>7889000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5"/>
      <c r="AE29" s="25">
        <f t="shared" si="2"/>
        <v>56383304.43000001</v>
      </c>
    </row>
    <row r="30" spans="1:71" s="1" customFormat="1" ht="11.25">
      <c r="A30" s="5" t="s">
        <v>160</v>
      </c>
      <c r="B30" s="5" t="s">
        <v>159</v>
      </c>
      <c r="C30" s="29">
        <v>990836</v>
      </c>
      <c r="D30" s="27"/>
      <c r="E30" s="29">
        <v>15060469</v>
      </c>
      <c r="F30" s="27"/>
      <c r="G30" s="29">
        <f>2191113.5+19720021.5</f>
        <v>21911135</v>
      </c>
      <c r="H30" s="29">
        <v>1057000</v>
      </c>
      <c r="I30" s="27"/>
      <c r="J30" s="27"/>
      <c r="K30" s="27"/>
      <c r="L30" s="27"/>
      <c r="M30" s="27"/>
      <c r="N30" s="25">
        <v>10257053</v>
      </c>
      <c r="O30" s="27"/>
      <c r="P30" s="27"/>
      <c r="Q30" s="27"/>
      <c r="R30" s="27"/>
      <c r="S30" s="29">
        <f>823200+7408800</f>
        <v>8232000</v>
      </c>
      <c r="T30" s="27"/>
      <c r="U30" s="27"/>
      <c r="V30" s="27"/>
      <c r="W30" s="27"/>
      <c r="X30" s="29">
        <v>2716639</v>
      </c>
      <c r="Y30" s="27"/>
      <c r="Z30" s="27"/>
      <c r="AA30" s="27"/>
      <c r="AB30" s="27"/>
      <c r="AC30" s="27"/>
      <c r="AD30" s="25"/>
      <c r="AE30" s="25">
        <f t="shared" si="2"/>
        <v>60225132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31" s="1" customFormat="1" ht="11.25">
      <c r="A31" s="5" t="s">
        <v>162</v>
      </c>
      <c r="B31" s="5" t="s">
        <v>161</v>
      </c>
      <c r="C31" s="27"/>
      <c r="D31" s="27"/>
      <c r="E31" s="29">
        <v>8106865</v>
      </c>
      <c r="F31" s="27"/>
      <c r="G31" s="31">
        <f>970626.7+8735640.3</f>
        <v>9706267</v>
      </c>
      <c r="H31" s="27"/>
      <c r="I31" s="27"/>
      <c r="J31" s="27"/>
      <c r="K31" s="27"/>
      <c r="L31" s="27"/>
      <c r="M31" s="27"/>
      <c r="N31" s="29">
        <v>686604</v>
      </c>
      <c r="O31" s="27"/>
      <c r="P31" s="27"/>
      <c r="Q31" s="27"/>
      <c r="R31" s="27"/>
      <c r="S31" s="29">
        <v>4931850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5"/>
      <c r="AE31" s="25">
        <f t="shared" si="2"/>
        <v>23431586</v>
      </c>
    </row>
    <row r="32" spans="1:31" s="6" customFormat="1" ht="10.5">
      <c r="A32" s="5" t="s">
        <v>164</v>
      </c>
      <c r="B32" s="5" t="s">
        <v>163</v>
      </c>
      <c r="C32" s="28">
        <v>107800</v>
      </c>
      <c r="D32" s="28"/>
      <c r="E32" s="28">
        <v>4820904</v>
      </c>
      <c r="F32" s="28"/>
      <c r="G32" s="28">
        <v>5786341</v>
      </c>
      <c r="H32" s="28"/>
      <c r="I32" s="28"/>
      <c r="J32" s="28"/>
      <c r="K32" s="28"/>
      <c r="L32" s="28"/>
      <c r="M32" s="28"/>
      <c r="N32" s="28"/>
      <c r="O32" s="28">
        <f>26407+128569</f>
        <v>154976</v>
      </c>
      <c r="P32" s="28"/>
      <c r="Q32" s="28"/>
      <c r="R32" s="28"/>
      <c r="S32" s="28">
        <v>3234000</v>
      </c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5"/>
      <c r="AE32" s="25">
        <f t="shared" si="2"/>
        <v>14104021</v>
      </c>
    </row>
    <row r="33" spans="1:31" s="6" customFormat="1" ht="21">
      <c r="A33" s="5" t="s">
        <v>281</v>
      </c>
      <c r="B33" s="5" t="s">
        <v>282</v>
      </c>
      <c r="C33" s="28"/>
      <c r="D33" s="28"/>
      <c r="E33" s="28">
        <v>143113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5"/>
      <c r="AE33" s="25">
        <f t="shared" si="2"/>
        <v>143113</v>
      </c>
    </row>
    <row r="34" spans="1:31" s="6" customFormat="1" ht="21">
      <c r="A34" s="5" t="s">
        <v>283</v>
      </c>
      <c r="B34" s="5" t="s">
        <v>284</v>
      </c>
      <c r="C34" s="28"/>
      <c r="D34" s="28"/>
      <c r="E34" s="28">
        <f>7057405</f>
        <v>7057405</v>
      </c>
      <c r="F34" s="28"/>
      <c r="G34" s="28"/>
      <c r="H34" s="28"/>
      <c r="I34" s="28"/>
      <c r="K34" s="28"/>
      <c r="L34" s="28"/>
      <c r="M34" s="28">
        <v>83735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5"/>
      <c r="AE34" s="25">
        <f t="shared" si="2"/>
        <v>7141140</v>
      </c>
    </row>
    <row r="35" spans="1:31" s="6" customFormat="1" ht="10.5">
      <c r="A35" s="5" t="s">
        <v>285</v>
      </c>
      <c r="B35" s="5" t="s">
        <v>286</v>
      </c>
      <c r="C35" s="28"/>
      <c r="D35" s="28"/>
      <c r="E35" s="28">
        <v>172626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5"/>
      <c r="AE35" s="25">
        <f t="shared" si="2"/>
        <v>172626</v>
      </c>
    </row>
    <row r="36" spans="1:31" s="6" customFormat="1" ht="10.5">
      <c r="A36" s="5" t="s">
        <v>287</v>
      </c>
      <c r="B36" s="5" t="s">
        <v>288</v>
      </c>
      <c r="C36" s="28"/>
      <c r="D36" s="28"/>
      <c r="E36" s="28">
        <v>258988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5"/>
      <c r="AE36" s="25">
        <f t="shared" si="2"/>
        <v>258988</v>
      </c>
    </row>
    <row r="37" spans="1:31" s="6" customFormat="1" ht="10.5">
      <c r="A37" s="5" t="s">
        <v>289</v>
      </c>
      <c r="B37" s="5" t="s">
        <v>290</v>
      </c>
      <c r="C37" s="28"/>
      <c r="D37" s="28"/>
      <c r="E37" s="28"/>
      <c r="F37" s="28"/>
      <c r="G37" s="28"/>
      <c r="H37" s="28">
        <v>91000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5"/>
      <c r="AE37" s="25">
        <f t="shared" si="2"/>
        <v>91000</v>
      </c>
    </row>
    <row r="38" spans="1:71" s="1" customFormat="1" ht="11.25">
      <c r="A38" s="5" t="s">
        <v>291</v>
      </c>
      <c r="B38" s="5" t="s">
        <v>292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9">
        <f>56+504</f>
        <v>560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5"/>
      <c r="AE38" s="25">
        <f t="shared" si="2"/>
        <v>560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31" s="1" customFormat="1" ht="21">
      <c r="A39" s="5" t="s">
        <v>166</v>
      </c>
      <c r="B39" s="5" t="s">
        <v>165</v>
      </c>
      <c r="C39" s="27"/>
      <c r="D39" s="27"/>
      <c r="E39" s="29">
        <f>12383+111447+512455</f>
        <v>636285</v>
      </c>
      <c r="F39" s="27"/>
      <c r="G39" s="31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9">
        <f>59+531</f>
        <v>590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5"/>
      <c r="AE39" s="25">
        <f t="shared" si="2"/>
        <v>636875</v>
      </c>
    </row>
    <row r="40" spans="1:31" s="6" customFormat="1" ht="10.5">
      <c r="A40" s="5" t="s">
        <v>293</v>
      </c>
      <c r="B40" s="5" t="s">
        <v>294</v>
      </c>
      <c r="C40" s="28"/>
      <c r="D40" s="28"/>
      <c r="E40" s="28">
        <v>4223008</v>
      </c>
      <c r="F40" s="28"/>
      <c r="G40" s="28">
        <v>7401068</v>
      </c>
      <c r="H40" s="28"/>
      <c r="I40" s="28"/>
      <c r="J40" s="28"/>
      <c r="K40" s="28"/>
      <c r="L40" s="28"/>
      <c r="M40" s="28"/>
      <c r="N40" s="28">
        <v>1575700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5"/>
      <c r="AE40" s="25">
        <f t="shared" si="2"/>
        <v>13199776</v>
      </c>
    </row>
    <row r="41" spans="1:31" s="6" customFormat="1" ht="10.5">
      <c r="A41" s="5" t="s">
        <v>168</v>
      </c>
      <c r="B41" s="5" t="s">
        <v>167</v>
      </c>
      <c r="C41" s="28"/>
      <c r="D41" s="28"/>
      <c r="E41" s="28">
        <v>251943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5"/>
      <c r="AE41" s="25">
        <f t="shared" si="2"/>
        <v>251943</v>
      </c>
    </row>
    <row r="42" spans="1:31" s="6" customFormat="1" ht="10.5">
      <c r="A42" s="5" t="s">
        <v>147</v>
      </c>
      <c r="B42" s="5" t="s">
        <v>169</v>
      </c>
      <c r="C42" s="28"/>
      <c r="D42" s="28"/>
      <c r="E42" s="28">
        <v>1447538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5"/>
      <c r="AE42" s="25">
        <f t="shared" si="2"/>
        <v>1447538</v>
      </c>
    </row>
    <row r="43" spans="1:31" s="6" customFormat="1" ht="10.5">
      <c r="A43" s="5" t="s">
        <v>295</v>
      </c>
      <c r="B43" s="5" t="s">
        <v>296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>
        <v>3554572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5"/>
      <c r="AE43" s="25">
        <f t="shared" si="2"/>
        <v>3554572</v>
      </c>
    </row>
    <row r="44" spans="1:31" s="6" customFormat="1" ht="10.5">
      <c r="A44" s="5" t="s">
        <v>171</v>
      </c>
      <c r="B44" s="5" t="s">
        <v>170</v>
      </c>
      <c r="C44" s="28"/>
      <c r="D44" s="28"/>
      <c r="E44" s="28">
        <v>2495348</v>
      </c>
      <c r="F44" s="28"/>
      <c r="G44" s="28">
        <v>6663178</v>
      </c>
      <c r="H44" s="28"/>
      <c r="I44" s="28"/>
      <c r="J44" s="28"/>
      <c r="K44" s="28"/>
      <c r="L44" s="28"/>
      <c r="M44" s="28"/>
      <c r="N44" s="28">
        <v>1562104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5"/>
      <c r="AE44" s="25">
        <f t="shared" si="2"/>
        <v>10720630</v>
      </c>
    </row>
    <row r="45" spans="1:31" s="6" customFormat="1" ht="10.5">
      <c r="A45" s="5" t="s">
        <v>173</v>
      </c>
      <c r="B45" s="5" t="s">
        <v>172</v>
      </c>
      <c r="C45" s="28"/>
      <c r="D45" s="28"/>
      <c r="E45" s="28">
        <v>5527463</v>
      </c>
      <c r="F45" s="28"/>
      <c r="G45" s="28">
        <v>5375093</v>
      </c>
      <c r="H45" s="28"/>
      <c r="I45" s="28"/>
      <c r="J45" s="28"/>
      <c r="K45" s="28"/>
      <c r="L45" s="28"/>
      <c r="M45" s="28"/>
      <c r="N45" s="28">
        <v>367500</v>
      </c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5"/>
      <c r="AE45" s="25">
        <f t="shared" si="2"/>
        <v>11270056</v>
      </c>
    </row>
    <row r="46" spans="1:31" s="6" customFormat="1" ht="10.5">
      <c r="A46" s="5" t="s">
        <v>175</v>
      </c>
      <c r="B46" s="5" t="s">
        <v>174</v>
      </c>
      <c r="C46" s="28"/>
      <c r="D46" s="28"/>
      <c r="E46" s="28">
        <v>1311953</v>
      </c>
      <c r="F46" s="28"/>
      <c r="G46" s="28">
        <f>96683.7+861253.3+277942</f>
        <v>1235879</v>
      </c>
      <c r="H46" s="28">
        <v>182000</v>
      </c>
      <c r="I46" s="28"/>
      <c r="J46" s="28"/>
      <c r="K46" s="28"/>
      <c r="L46" s="28"/>
      <c r="M46" s="28"/>
      <c r="N46" s="28"/>
      <c r="O46" s="28"/>
      <c r="P46" s="28"/>
      <c r="Q46" s="28">
        <f>6377.06+57393.58</f>
        <v>63770.64</v>
      </c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5"/>
      <c r="AE46" s="25">
        <f t="shared" si="2"/>
        <v>2793602.64</v>
      </c>
    </row>
    <row r="47" spans="1:31" s="6" customFormat="1" ht="10.5">
      <c r="A47" s="5" t="s">
        <v>297</v>
      </c>
      <c r="B47" s="5" t="s">
        <v>298</v>
      </c>
      <c r="C47" s="28"/>
      <c r="D47" s="28"/>
      <c r="E47" s="28">
        <f>644417+1374183</f>
        <v>2018600</v>
      </c>
      <c r="F47" s="28"/>
      <c r="G47" s="28"/>
      <c r="H47" s="28">
        <v>280000</v>
      </c>
      <c r="I47" s="28"/>
      <c r="J47" s="28"/>
      <c r="K47" s="28"/>
      <c r="L47" s="28"/>
      <c r="M47" s="28"/>
      <c r="N47" s="28">
        <v>800847</v>
      </c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5"/>
      <c r="AE47" s="25">
        <f t="shared" si="2"/>
        <v>3099447</v>
      </c>
    </row>
    <row r="48" spans="1:31" s="6" customFormat="1" ht="18" customHeight="1">
      <c r="A48" s="5" t="s">
        <v>177</v>
      </c>
      <c r="B48" s="5" t="s">
        <v>176</v>
      </c>
      <c r="C48" s="28">
        <v>523600</v>
      </c>
      <c r="D48" s="28"/>
      <c r="E48" s="28">
        <v>7473742</v>
      </c>
      <c r="F48" s="28"/>
      <c r="G48" s="28">
        <v>9968094</v>
      </c>
      <c r="H48" s="28"/>
      <c r="I48" s="28"/>
      <c r="J48" s="28"/>
      <c r="K48" s="28"/>
      <c r="L48" s="28"/>
      <c r="M48" s="28"/>
      <c r="N48" s="28">
        <v>594000</v>
      </c>
      <c r="O48" s="28"/>
      <c r="P48" s="28"/>
      <c r="Q48" s="28"/>
      <c r="R48" s="28"/>
      <c r="S48" s="28">
        <v>4527600</v>
      </c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5"/>
      <c r="AE48" s="25">
        <f t="shared" si="2"/>
        <v>23087036</v>
      </c>
    </row>
    <row r="49" spans="1:31" s="6" customFormat="1" ht="11.25">
      <c r="A49" s="18" t="s">
        <v>192</v>
      </c>
      <c r="B49" s="4"/>
      <c r="C49" s="32">
        <f>SUM(C51:C62)</f>
        <v>468393</v>
      </c>
      <c r="D49" s="32">
        <f aca="true" t="shared" si="3" ref="D49:AE49">SUM(D51:D62)</f>
        <v>0</v>
      </c>
      <c r="E49" s="32">
        <f t="shared" si="3"/>
        <v>41088079</v>
      </c>
      <c r="F49" s="32">
        <f t="shared" si="3"/>
        <v>0</v>
      </c>
      <c r="G49" s="32">
        <f t="shared" si="3"/>
        <v>53343988</v>
      </c>
      <c r="H49" s="32">
        <f t="shared" si="3"/>
        <v>364000</v>
      </c>
      <c r="I49" s="32">
        <f t="shared" si="3"/>
        <v>0</v>
      </c>
      <c r="J49" s="32">
        <f t="shared" si="3"/>
        <v>0</v>
      </c>
      <c r="K49" s="32">
        <f t="shared" si="3"/>
        <v>0</v>
      </c>
      <c r="L49" s="32">
        <f t="shared" si="3"/>
        <v>150645</v>
      </c>
      <c r="M49" s="32">
        <f t="shared" si="3"/>
        <v>0</v>
      </c>
      <c r="N49" s="32">
        <f t="shared" si="3"/>
        <v>3608873</v>
      </c>
      <c r="O49" s="32">
        <f t="shared" si="3"/>
        <v>2701543.03</v>
      </c>
      <c r="P49" s="32">
        <f t="shared" si="3"/>
        <v>0</v>
      </c>
      <c r="Q49" s="32">
        <f t="shared" si="3"/>
        <v>0</v>
      </c>
      <c r="R49" s="32">
        <f t="shared" si="3"/>
        <v>298099.3</v>
      </c>
      <c r="S49" s="32">
        <f t="shared" si="3"/>
        <v>28283045</v>
      </c>
      <c r="T49" s="32">
        <f t="shared" si="3"/>
        <v>0</v>
      </c>
      <c r="U49" s="32">
        <f t="shared" si="3"/>
        <v>44000</v>
      </c>
      <c r="V49" s="32">
        <f t="shared" si="3"/>
        <v>0</v>
      </c>
      <c r="W49" s="32">
        <f t="shared" si="3"/>
        <v>0</v>
      </c>
      <c r="X49" s="32">
        <f t="shared" si="3"/>
        <v>0</v>
      </c>
      <c r="Y49" s="32">
        <f t="shared" si="3"/>
        <v>0</v>
      </c>
      <c r="Z49" s="32">
        <f t="shared" si="3"/>
        <v>0</v>
      </c>
      <c r="AA49" s="32">
        <f t="shared" si="3"/>
        <v>0</v>
      </c>
      <c r="AB49" s="32">
        <f t="shared" si="3"/>
        <v>1133396</v>
      </c>
      <c r="AC49" s="32">
        <f t="shared" si="3"/>
        <v>0</v>
      </c>
      <c r="AD49" s="32">
        <f t="shared" si="3"/>
        <v>0</v>
      </c>
      <c r="AE49" s="32">
        <f t="shared" si="3"/>
        <v>131484061.33</v>
      </c>
    </row>
    <row r="50" spans="1:31" s="6" customFormat="1" ht="11.25">
      <c r="A50" s="4"/>
      <c r="B50" s="4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5"/>
      <c r="AE50" s="25">
        <f aca="true" t="shared" si="4" ref="AE50:AE62">SUM(C50:AD50)</f>
        <v>0</v>
      </c>
    </row>
    <row r="51" spans="1:71" s="1" customFormat="1" ht="11.25">
      <c r="A51" s="5" t="s">
        <v>179</v>
      </c>
      <c r="B51" s="5" t="s">
        <v>178</v>
      </c>
      <c r="C51" s="29"/>
      <c r="D51" s="29"/>
      <c r="E51" s="29">
        <v>3873747</v>
      </c>
      <c r="F51" s="29"/>
      <c r="G51" s="29">
        <f>738005.9+6642053.1</f>
        <v>7380059</v>
      </c>
      <c r="H51" s="29"/>
      <c r="I51" s="29"/>
      <c r="J51" s="29"/>
      <c r="K51" s="29"/>
      <c r="L51" s="29"/>
      <c r="M51" s="29"/>
      <c r="N51" s="29">
        <v>194672</v>
      </c>
      <c r="O51" s="29"/>
      <c r="P51" s="29"/>
      <c r="Q51" s="29"/>
      <c r="R51" s="29"/>
      <c r="S51" s="29">
        <f>452760+4074840</f>
        <v>4527600</v>
      </c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5"/>
      <c r="AE51" s="25">
        <f t="shared" si="4"/>
        <v>15976078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31" s="1" customFormat="1" ht="11.25">
      <c r="A52" s="5" t="s">
        <v>181</v>
      </c>
      <c r="B52" s="5" t="s">
        <v>180</v>
      </c>
      <c r="C52" s="29"/>
      <c r="D52" s="29"/>
      <c r="E52" s="29">
        <v>5135480</v>
      </c>
      <c r="F52" s="29"/>
      <c r="G52" s="31">
        <f>1219067.8+10971610.2</f>
        <v>12190678</v>
      </c>
      <c r="H52" s="29"/>
      <c r="I52" s="29"/>
      <c r="J52" s="29"/>
      <c r="K52" s="29"/>
      <c r="L52" s="29"/>
      <c r="M52" s="29"/>
      <c r="N52" s="29">
        <v>1539050</v>
      </c>
      <c r="O52" s="29">
        <f>37160+1956+449+8526+326+6188+11555+6516+1924</f>
        <v>74600</v>
      </c>
      <c r="P52" s="29"/>
      <c r="Q52" s="29"/>
      <c r="R52" s="29"/>
      <c r="S52" s="29">
        <v>6762000</v>
      </c>
      <c r="T52" s="29"/>
      <c r="U52" s="29">
        <v>44000</v>
      </c>
      <c r="V52" s="29"/>
      <c r="W52" s="29"/>
      <c r="X52" s="29"/>
      <c r="Y52" s="29"/>
      <c r="Z52" s="29"/>
      <c r="AA52" s="29"/>
      <c r="AB52" s="29"/>
      <c r="AC52" s="29"/>
      <c r="AD52" s="25"/>
      <c r="AE52" s="25">
        <f t="shared" si="4"/>
        <v>25745808</v>
      </c>
    </row>
    <row r="53" spans="1:31" s="6" customFormat="1" ht="10.5">
      <c r="A53" s="5" t="s">
        <v>183</v>
      </c>
      <c r="B53" s="5" t="s">
        <v>182</v>
      </c>
      <c r="C53" s="28"/>
      <c r="D53" s="28"/>
      <c r="E53" s="28">
        <v>7153006</v>
      </c>
      <c r="F53" s="28"/>
      <c r="G53" s="28">
        <v>5025021</v>
      </c>
      <c r="H53" s="28"/>
      <c r="I53" s="28"/>
      <c r="J53" s="28"/>
      <c r="K53" s="28"/>
      <c r="L53" s="28"/>
      <c r="M53" s="28"/>
      <c r="N53" s="28">
        <v>440101</v>
      </c>
      <c r="O53" s="28"/>
      <c r="P53" s="28"/>
      <c r="Q53" s="28"/>
      <c r="R53" s="28"/>
      <c r="S53" s="28">
        <v>5047000</v>
      </c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5"/>
      <c r="AE53" s="25">
        <f t="shared" si="4"/>
        <v>17665128</v>
      </c>
    </row>
    <row r="54" spans="1:71" s="1" customFormat="1" ht="11.25">
      <c r="A54" s="5" t="s">
        <v>185</v>
      </c>
      <c r="B54" s="5" t="s">
        <v>184</v>
      </c>
      <c r="C54" s="29">
        <v>264880</v>
      </c>
      <c r="D54" s="27"/>
      <c r="E54" s="29">
        <f>609174+5482567</f>
        <v>6091741</v>
      </c>
      <c r="F54" s="27"/>
      <c r="G54" s="29">
        <f>1093008.2+9837073.8</f>
        <v>10930082</v>
      </c>
      <c r="H54" s="27"/>
      <c r="I54" s="27"/>
      <c r="J54" s="27"/>
      <c r="K54" s="27"/>
      <c r="L54" s="27"/>
      <c r="M54" s="27"/>
      <c r="N54" s="27"/>
      <c r="O54" s="29">
        <v>87743</v>
      </c>
      <c r="P54" s="27"/>
      <c r="Q54" s="27"/>
      <c r="R54" s="29">
        <v>298099.3</v>
      </c>
      <c r="S54" s="29">
        <v>5674445</v>
      </c>
      <c r="T54" s="27"/>
      <c r="U54" s="27"/>
      <c r="V54" s="27"/>
      <c r="W54" s="27"/>
      <c r="X54" s="27"/>
      <c r="Y54" s="27"/>
      <c r="Z54" s="27"/>
      <c r="AA54" s="27"/>
      <c r="AB54" s="29">
        <v>1133396</v>
      </c>
      <c r="AC54" s="27"/>
      <c r="AD54" s="25"/>
      <c r="AE54" s="25">
        <f t="shared" si="4"/>
        <v>24480386.3</v>
      </c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31" s="1" customFormat="1" ht="11.25">
      <c r="A55" s="5" t="s">
        <v>466</v>
      </c>
      <c r="B55" s="5" t="s">
        <v>299</v>
      </c>
      <c r="C55" s="27"/>
      <c r="D55" s="27"/>
      <c r="E55" s="29">
        <v>10169902</v>
      </c>
      <c r="F55" s="27"/>
      <c r="G55" s="31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5"/>
      <c r="AE55" s="25">
        <f t="shared" si="4"/>
        <v>10169902</v>
      </c>
    </row>
    <row r="56" spans="1:31" s="6" customFormat="1" ht="10.5">
      <c r="A56" s="5" t="s">
        <v>300</v>
      </c>
      <c r="B56" s="5" t="s">
        <v>301</v>
      </c>
      <c r="C56" s="28"/>
      <c r="D56" s="28"/>
      <c r="E56" s="28"/>
      <c r="F56" s="28"/>
      <c r="G56" s="28"/>
      <c r="H56" s="28"/>
      <c r="I56" s="28"/>
      <c r="J56" s="28"/>
      <c r="K56" s="28"/>
      <c r="L56" s="28">
        <v>24135</v>
      </c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5"/>
      <c r="AE56" s="25">
        <f t="shared" si="4"/>
        <v>24135</v>
      </c>
    </row>
    <row r="57" spans="1:71" s="1" customFormat="1" ht="11.25">
      <c r="A57" s="5" t="s">
        <v>302</v>
      </c>
      <c r="B57" s="5" t="s">
        <v>303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9">
        <v>165858</v>
      </c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5"/>
      <c r="AE57" s="25">
        <f t="shared" si="4"/>
        <v>165858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31" s="1" customFormat="1" ht="11.25">
      <c r="A58" s="5" t="s">
        <v>304</v>
      </c>
      <c r="B58" s="5" t="s">
        <v>305</v>
      </c>
      <c r="C58" s="29"/>
      <c r="D58" s="27"/>
      <c r="E58" s="29">
        <v>1166680</v>
      </c>
      <c r="F58" s="27"/>
      <c r="G58" s="31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5"/>
      <c r="AE58" s="25">
        <f t="shared" si="4"/>
        <v>1166680</v>
      </c>
    </row>
    <row r="59" spans="1:31" s="1" customFormat="1" ht="11.25">
      <c r="A59" s="5" t="s">
        <v>499</v>
      </c>
      <c r="B59" s="5" t="s">
        <v>500</v>
      </c>
      <c r="C59" s="29"/>
      <c r="D59" s="27"/>
      <c r="E59" s="29"/>
      <c r="F59" s="27"/>
      <c r="G59" s="31"/>
      <c r="H59" s="27"/>
      <c r="I59" s="27"/>
      <c r="J59" s="27"/>
      <c r="K59" s="27"/>
      <c r="L59" s="29">
        <v>126510</v>
      </c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5"/>
      <c r="AE59" s="25">
        <f t="shared" si="4"/>
        <v>126510</v>
      </c>
    </row>
    <row r="60" spans="1:31" s="6" customFormat="1" ht="21">
      <c r="A60" s="5" t="s">
        <v>187</v>
      </c>
      <c r="B60" s="5" t="s">
        <v>186</v>
      </c>
      <c r="C60" s="28">
        <v>203513</v>
      </c>
      <c r="D60" s="28"/>
      <c r="E60" s="28">
        <v>5096436</v>
      </c>
      <c r="F60" s="28"/>
      <c r="G60" s="28">
        <v>14370542</v>
      </c>
      <c r="H60" s="28">
        <v>364000</v>
      </c>
      <c r="I60" s="28"/>
      <c r="J60" s="28"/>
      <c r="K60" s="28"/>
      <c r="L60" s="28"/>
      <c r="M60" s="28"/>
      <c r="N60" s="28">
        <v>1435050</v>
      </c>
      <c r="O60" s="28"/>
      <c r="P60" s="28"/>
      <c r="Q60" s="28"/>
      <c r="R60" s="28"/>
      <c r="S60" s="28">
        <f>627200+5644800</f>
        <v>6272000</v>
      </c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5"/>
      <c r="AE60" s="25">
        <f t="shared" si="4"/>
        <v>27741541</v>
      </c>
    </row>
    <row r="61" spans="1:31" s="6" customFormat="1" ht="10.5">
      <c r="A61" s="5" t="s">
        <v>189</v>
      </c>
      <c r="B61" s="5" t="s">
        <v>188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>
        <v>2373342.03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5"/>
      <c r="AE61" s="25">
        <f t="shared" si="4"/>
        <v>2373342.03</v>
      </c>
    </row>
    <row r="62" spans="1:31" s="6" customFormat="1" ht="10.5">
      <c r="A62" s="5" t="s">
        <v>191</v>
      </c>
      <c r="B62" s="5" t="s">
        <v>190</v>
      </c>
      <c r="C62" s="28"/>
      <c r="D62" s="28"/>
      <c r="E62" s="28">
        <v>2401087</v>
      </c>
      <c r="F62" s="28"/>
      <c r="G62" s="28">
        <f>344760.6+3102845.4</f>
        <v>3447606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5"/>
      <c r="AE62" s="25">
        <f t="shared" si="4"/>
        <v>5848693</v>
      </c>
    </row>
    <row r="63" spans="1:31" s="6" customFormat="1" ht="11.25">
      <c r="A63" s="18" t="s">
        <v>4</v>
      </c>
      <c r="B63" s="4"/>
      <c r="C63" s="32">
        <f>SUM(C65:C74)</f>
        <v>0</v>
      </c>
      <c r="D63" s="32">
        <f aca="true" t="shared" si="5" ref="D63:AE63">SUM(D65:D74)</f>
        <v>2895144</v>
      </c>
      <c r="E63" s="32">
        <f t="shared" si="5"/>
        <v>58457981</v>
      </c>
      <c r="F63" s="32">
        <f t="shared" si="5"/>
        <v>0</v>
      </c>
      <c r="G63" s="32">
        <f t="shared" si="5"/>
        <v>21279156</v>
      </c>
      <c r="H63" s="32">
        <f t="shared" si="5"/>
        <v>4851000</v>
      </c>
      <c r="I63" s="32">
        <f t="shared" si="5"/>
        <v>0</v>
      </c>
      <c r="J63" s="32">
        <f t="shared" si="5"/>
        <v>0</v>
      </c>
      <c r="K63" s="32">
        <f t="shared" si="5"/>
        <v>0</v>
      </c>
      <c r="L63" s="32">
        <f t="shared" si="5"/>
        <v>0</v>
      </c>
      <c r="M63" s="32">
        <f t="shared" si="5"/>
        <v>0</v>
      </c>
      <c r="N63" s="32">
        <f t="shared" si="5"/>
        <v>3684440</v>
      </c>
      <c r="O63" s="32">
        <f t="shared" si="5"/>
        <v>50604187.82</v>
      </c>
      <c r="P63" s="32">
        <f t="shared" si="5"/>
        <v>63856740</v>
      </c>
      <c r="Q63" s="32">
        <f t="shared" si="5"/>
        <v>0</v>
      </c>
      <c r="R63" s="32">
        <f t="shared" si="5"/>
        <v>7913741</v>
      </c>
      <c r="S63" s="32">
        <f t="shared" si="5"/>
        <v>21953105</v>
      </c>
      <c r="T63" s="32">
        <f t="shared" si="5"/>
        <v>0</v>
      </c>
      <c r="U63" s="32">
        <f t="shared" si="5"/>
        <v>0</v>
      </c>
      <c r="V63" s="32">
        <f t="shared" si="5"/>
        <v>0</v>
      </c>
      <c r="W63" s="32">
        <f t="shared" si="5"/>
        <v>3640000</v>
      </c>
      <c r="X63" s="32">
        <f t="shared" si="5"/>
        <v>6530364</v>
      </c>
      <c r="Y63" s="32">
        <f t="shared" si="5"/>
        <v>0</v>
      </c>
      <c r="Z63" s="32">
        <f t="shared" si="5"/>
        <v>0</v>
      </c>
      <c r="AA63" s="32">
        <f t="shared" si="5"/>
        <v>0</v>
      </c>
      <c r="AB63" s="32">
        <f t="shared" si="5"/>
        <v>0</v>
      </c>
      <c r="AC63" s="32">
        <f t="shared" si="5"/>
        <v>0</v>
      </c>
      <c r="AD63" s="32">
        <f t="shared" si="5"/>
        <v>0</v>
      </c>
      <c r="AE63" s="32">
        <f t="shared" si="5"/>
        <v>245665858.82</v>
      </c>
    </row>
    <row r="64" spans="1:31" s="6" customFormat="1" ht="11.25">
      <c r="A64" s="4"/>
      <c r="B64" s="4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5"/>
      <c r="AE64" s="25">
        <f aca="true" t="shared" si="6" ref="AE64:AE74">SUM(C64:AD64)</f>
        <v>0</v>
      </c>
    </row>
    <row r="65" spans="1:31" s="6" customFormat="1" ht="10.5">
      <c r="A65" s="5" t="s">
        <v>194</v>
      </c>
      <c r="B65" s="5" t="s">
        <v>193</v>
      </c>
      <c r="C65" s="28"/>
      <c r="D65" s="28"/>
      <c r="E65" s="28">
        <v>1691068</v>
      </c>
      <c r="F65" s="28"/>
      <c r="G65" s="28">
        <v>5975031</v>
      </c>
      <c r="H65" s="28"/>
      <c r="I65" s="28"/>
      <c r="J65" s="28"/>
      <c r="K65" s="28"/>
      <c r="L65" s="28"/>
      <c r="M65" s="28"/>
      <c r="N65" s="28">
        <v>787500</v>
      </c>
      <c r="O65" s="28"/>
      <c r="P65" s="28"/>
      <c r="Q65" s="28"/>
      <c r="R65" s="28"/>
      <c r="S65" s="28">
        <v>2736000</v>
      </c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5"/>
      <c r="AE65" s="25">
        <f t="shared" si="6"/>
        <v>11189599</v>
      </c>
    </row>
    <row r="66" spans="1:31" s="6" customFormat="1" ht="18" customHeight="1">
      <c r="A66" s="5" t="s">
        <v>196</v>
      </c>
      <c r="B66" s="5" t="s">
        <v>195</v>
      </c>
      <c r="C66" s="28"/>
      <c r="D66" s="28"/>
      <c r="E66" s="28">
        <v>13918161</v>
      </c>
      <c r="F66" s="28"/>
      <c r="G66" s="28">
        <v>8789410</v>
      </c>
      <c r="H66" s="28">
        <v>770000</v>
      </c>
      <c r="I66" s="28"/>
      <c r="J66" s="28"/>
      <c r="K66" s="28"/>
      <c r="L66" s="28"/>
      <c r="M66" s="28"/>
      <c r="N66" s="28">
        <v>1052785</v>
      </c>
      <c r="O66" s="28">
        <v>1283721</v>
      </c>
      <c r="P66" s="28">
        <v>63856740</v>
      </c>
      <c r="Q66" s="28"/>
      <c r="R66" s="28"/>
      <c r="S66" s="28">
        <f>1456560+515602+4640423</f>
        <v>6612585</v>
      </c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5"/>
      <c r="AE66" s="25">
        <f t="shared" si="6"/>
        <v>96283402</v>
      </c>
    </row>
    <row r="67" spans="1:31" s="6" customFormat="1" ht="10.5">
      <c r="A67" s="5" t="s">
        <v>198</v>
      </c>
      <c r="B67" s="5" t="s">
        <v>197</v>
      </c>
      <c r="C67" s="28"/>
      <c r="D67" s="28">
        <v>2895144</v>
      </c>
      <c r="E67" s="28">
        <v>27747139</v>
      </c>
      <c r="F67" s="28"/>
      <c r="G67" s="28"/>
      <c r="H67" s="28"/>
      <c r="I67" s="28"/>
      <c r="J67" s="28"/>
      <c r="K67" s="28"/>
      <c r="L67" s="28"/>
      <c r="M67" s="28"/>
      <c r="N67" s="28"/>
      <c r="O67" s="28">
        <v>49320466.82</v>
      </c>
      <c r="P67" s="28"/>
      <c r="Q67" s="28"/>
      <c r="R67" s="28">
        <v>7913741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5"/>
      <c r="AE67" s="25">
        <f t="shared" si="6"/>
        <v>87876490.82</v>
      </c>
    </row>
    <row r="68" spans="1:31" s="1" customFormat="1" ht="11.25">
      <c r="A68" s="5" t="s">
        <v>306</v>
      </c>
      <c r="B68" s="5" t="s">
        <v>307</v>
      </c>
      <c r="C68" s="27"/>
      <c r="D68" s="27"/>
      <c r="E68" s="29">
        <f>2049+46952</f>
        <v>49001</v>
      </c>
      <c r="F68" s="27"/>
      <c r="G68" s="31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5"/>
      <c r="AE68" s="25">
        <f t="shared" si="6"/>
        <v>49001</v>
      </c>
    </row>
    <row r="69" spans="1:31" s="6" customFormat="1" ht="10.5">
      <c r="A69" s="5" t="s">
        <v>308</v>
      </c>
      <c r="B69" s="5" t="s">
        <v>309</v>
      </c>
      <c r="C69" s="28"/>
      <c r="D69" s="28"/>
      <c r="E69" s="28">
        <v>400817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5"/>
      <c r="AE69" s="25">
        <f t="shared" si="6"/>
        <v>400817</v>
      </c>
    </row>
    <row r="70" spans="1:31" s="6" customFormat="1" ht="12.75">
      <c r="A70" s="36" t="s">
        <v>517</v>
      </c>
      <c r="B70" s="5" t="s">
        <v>518</v>
      </c>
      <c r="C70" s="28"/>
      <c r="D70" s="28"/>
      <c r="E70" s="28"/>
      <c r="F70" s="28"/>
      <c r="G70" s="28">
        <v>1872717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>
        <v>4678520</v>
      </c>
      <c r="T70" s="28"/>
      <c r="U70" s="28"/>
      <c r="V70" s="28"/>
      <c r="W70" s="28">
        <v>3640000</v>
      </c>
      <c r="X70" s="28"/>
      <c r="Y70" s="28"/>
      <c r="Z70" s="28"/>
      <c r="AA70" s="28"/>
      <c r="AB70" s="28"/>
      <c r="AC70" s="28"/>
      <c r="AD70" s="25"/>
      <c r="AE70" s="25">
        <f t="shared" si="6"/>
        <v>10191237</v>
      </c>
    </row>
    <row r="71" spans="1:31" s="6" customFormat="1" ht="10.5">
      <c r="A71" s="5" t="s">
        <v>1</v>
      </c>
      <c r="B71" s="5" t="s">
        <v>0</v>
      </c>
      <c r="C71" s="28"/>
      <c r="D71" s="28"/>
      <c r="E71" s="28">
        <v>4521193</v>
      </c>
      <c r="F71" s="28"/>
      <c r="G71" s="28"/>
      <c r="H71" s="28">
        <v>3528000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>
        <v>4200000</v>
      </c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5"/>
      <c r="AE71" s="25">
        <f t="shared" si="6"/>
        <v>12249193</v>
      </c>
    </row>
    <row r="72" spans="1:31" s="6" customFormat="1" ht="16.5" customHeight="1">
      <c r="A72" s="5" t="s">
        <v>310</v>
      </c>
      <c r="B72" s="5" t="s">
        <v>311</v>
      </c>
      <c r="C72" s="28"/>
      <c r="D72" s="28"/>
      <c r="E72" s="28">
        <v>381730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>
        <v>6530364</v>
      </c>
      <c r="Y72" s="28"/>
      <c r="Z72" s="28"/>
      <c r="AA72" s="28"/>
      <c r="AB72" s="28"/>
      <c r="AC72" s="28"/>
      <c r="AD72" s="25"/>
      <c r="AE72" s="25">
        <f t="shared" si="6"/>
        <v>6912094</v>
      </c>
    </row>
    <row r="73" spans="1:31" s="6" customFormat="1" ht="10.5">
      <c r="A73" s="5" t="s">
        <v>3</v>
      </c>
      <c r="B73" s="5" t="s">
        <v>2</v>
      </c>
      <c r="C73" s="28"/>
      <c r="D73" s="28"/>
      <c r="E73" s="28">
        <v>9558007</v>
      </c>
      <c r="F73" s="28"/>
      <c r="G73" s="28">
        <v>4641998</v>
      </c>
      <c r="H73" s="28">
        <v>553000</v>
      </c>
      <c r="I73" s="28"/>
      <c r="J73" s="28"/>
      <c r="K73" s="28"/>
      <c r="L73" s="28"/>
      <c r="M73" s="28"/>
      <c r="N73" s="28">
        <v>1844155</v>
      </c>
      <c r="O73" s="28"/>
      <c r="P73" s="28"/>
      <c r="Q73" s="28"/>
      <c r="R73" s="28"/>
      <c r="S73" s="28">
        <v>3726000</v>
      </c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5"/>
      <c r="AE73" s="25">
        <f t="shared" si="6"/>
        <v>20323160</v>
      </c>
    </row>
    <row r="74" spans="1:31" s="6" customFormat="1" ht="10.5">
      <c r="A74" s="5" t="s">
        <v>312</v>
      </c>
      <c r="B74" s="5" t="s">
        <v>313</v>
      </c>
      <c r="C74" s="28"/>
      <c r="D74" s="28"/>
      <c r="E74" s="28">
        <v>190865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5"/>
      <c r="AE74" s="25">
        <f t="shared" si="6"/>
        <v>190865</v>
      </c>
    </row>
    <row r="75" spans="1:31" s="6" customFormat="1" ht="11.25">
      <c r="A75" s="18" t="s">
        <v>27</v>
      </c>
      <c r="B75" s="4"/>
      <c r="C75" s="32">
        <f>SUM(C77:C100)</f>
        <v>0</v>
      </c>
      <c r="D75" s="32">
        <f aca="true" t="shared" si="7" ref="D75:AE75">SUM(D77:D100)</f>
        <v>417195</v>
      </c>
      <c r="E75" s="32">
        <f t="shared" si="7"/>
        <v>33913782</v>
      </c>
      <c r="F75" s="32">
        <f t="shared" si="7"/>
        <v>1362760</v>
      </c>
      <c r="G75" s="32">
        <f t="shared" si="7"/>
        <v>31272280</v>
      </c>
      <c r="H75" s="32">
        <f t="shared" si="7"/>
        <v>959000</v>
      </c>
      <c r="I75" s="32">
        <f t="shared" si="7"/>
        <v>0</v>
      </c>
      <c r="J75" s="32">
        <f t="shared" si="7"/>
        <v>1301880</v>
      </c>
      <c r="K75" s="32">
        <f t="shared" si="7"/>
        <v>138968</v>
      </c>
      <c r="L75" s="32">
        <f t="shared" si="7"/>
        <v>10174</v>
      </c>
      <c r="M75" s="32">
        <f t="shared" si="7"/>
        <v>0</v>
      </c>
      <c r="N75" s="32">
        <f t="shared" si="7"/>
        <v>5897879</v>
      </c>
      <c r="O75" s="32">
        <f t="shared" si="7"/>
        <v>4281711.8100000005</v>
      </c>
      <c r="P75" s="32">
        <f t="shared" si="7"/>
        <v>0</v>
      </c>
      <c r="Q75" s="32">
        <f t="shared" si="7"/>
        <v>0</v>
      </c>
      <c r="R75" s="32">
        <f t="shared" si="7"/>
        <v>18448166.73</v>
      </c>
      <c r="S75" s="32">
        <f t="shared" si="7"/>
        <v>23244530</v>
      </c>
      <c r="T75" s="32">
        <f t="shared" si="7"/>
        <v>0</v>
      </c>
      <c r="U75" s="32">
        <f t="shared" si="7"/>
        <v>32000</v>
      </c>
      <c r="V75" s="32">
        <f t="shared" si="7"/>
        <v>0</v>
      </c>
      <c r="W75" s="32">
        <f t="shared" si="7"/>
        <v>1517800</v>
      </c>
      <c r="X75" s="32">
        <f t="shared" si="7"/>
        <v>0</v>
      </c>
      <c r="Y75" s="32">
        <f t="shared" si="7"/>
        <v>0</v>
      </c>
      <c r="Z75" s="32">
        <f t="shared" si="7"/>
        <v>0</v>
      </c>
      <c r="AA75" s="32">
        <f t="shared" si="7"/>
        <v>0</v>
      </c>
      <c r="AB75" s="32">
        <f t="shared" si="7"/>
        <v>0</v>
      </c>
      <c r="AC75" s="32">
        <f t="shared" si="7"/>
        <v>0</v>
      </c>
      <c r="AD75" s="32">
        <f t="shared" si="7"/>
        <v>183908</v>
      </c>
      <c r="AE75" s="32">
        <f t="shared" si="7"/>
        <v>122982034.53999999</v>
      </c>
    </row>
    <row r="76" spans="1:31" s="6" customFormat="1" ht="11.25">
      <c r="A76" s="4"/>
      <c r="B76" s="4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5"/>
      <c r="AE76" s="25">
        <f aca="true" t="shared" si="8" ref="AE76:AE100">SUM(C76:AD76)</f>
        <v>0</v>
      </c>
    </row>
    <row r="77" spans="1:31" s="6" customFormat="1" ht="18.75" customHeight="1">
      <c r="A77" s="5" t="s">
        <v>6</v>
      </c>
      <c r="B77" s="5" t="s">
        <v>5</v>
      </c>
      <c r="C77" s="28"/>
      <c r="D77" s="28"/>
      <c r="E77" s="28"/>
      <c r="F77" s="28">
        <v>1362760</v>
      </c>
      <c r="G77" s="28"/>
      <c r="H77" s="28"/>
      <c r="I77" s="28"/>
      <c r="J77" s="28"/>
      <c r="K77" s="28"/>
      <c r="L77" s="28"/>
      <c r="M77" s="28"/>
      <c r="N77" s="28"/>
      <c r="O77" s="28">
        <v>601009</v>
      </c>
      <c r="P77" s="28"/>
      <c r="Q77" s="28"/>
      <c r="R77" s="28">
        <v>8964388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5"/>
      <c r="AE77" s="25">
        <f t="shared" si="8"/>
        <v>10928157</v>
      </c>
    </row>
    <row r="78" spans="1:31" s="6" customFormat="1" ht="25.5" customHeight="1">
      <c r="A78" s="5" t="s">
        <v>509</v>
      </c>
      <c r="B78" s="5" t="s">
        <v>510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5">
        <v>91954</v>
      </c>
      <c r="AE78" s="25">
        <f t="shared" si="8"/>
        <v>91954</v>
      </c>
    </row>
    <row r="79" spans="1:31" s="6" customFormat="1" ht="10.5">
      <c r="A79" s="5" t="s">
        <v>314</v>
      </c>
      <c r="B79" s="5" t="s">
        <v>315</v>
      </c>
      <c r="C79" s="28"/>
      <c r="D79" s="28"/>
      <c r="E79" s="28">
        <v>5544452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5"/>
      <c r="AE79" s="25">
        <f t="shared" si="8"/>
        <v>5544452</v>
      </c>
    </row>
    <row r="80" spans="1:31" s="1" customFormat="1" ht="21">
      <c r="A80" s="5" t="s">
        <v>316</v>
      </c>
      <c r="B80" s="5" t="s">
        <v>317</v>
      </c>
      <c r="C80" s="30"/>
      <c r="D80" s="30"/>
      <c r="E80" s="30">
        <v>51245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25"/>
      <c r="AE80" s="25">
        <f t="shared" si="8"/>
        <v>51245</v>
      </c>
    </row>
    <row r="81" spans="1:31" s="1" customFormat="1" ht="21">
      <c r="A81" s="5" t="s">
        <v>318</v>
      </c>
      <c r="B81" s="5" t="s">
        <v>319</v>
      </c>
      <c r="C81" s="27"/>
      <c r="D81" s="27"/>
      <c r="E81" s="29"/>
      <c r="F81" s="27"/>
      <c r="G81" s="31"/>
      <c r="H81" s="29">
        <v>266000</v>
      </c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5"/>
      <c r="AE81" s="25">
        <f t="shared" si="8"/>
        <v>266000</v>
      </c>
    </row>
    <row r="82" spans="1:31" s="6" customFormat="1" ht="20.25" customHeight="1">
      <c r="A82" s="5" t="s">
        <v>320</v>
      </c>
      <c r="B82" s="5" t="s">
        <v>321</v>
      </c>
      <c r="C82" s="28"/>
      <c r="D82" s="28"/>
      <c r="E82" s="28">
        <v>54264</v>
      </c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5"/>
      <c r="AE82" s="25">
        <f t="shared" si="8"/>
        <v>54264</v>
      </c>
    </row>
    <row r="83" spans="1:31" s="6" customFormat="1" ht="21">
      <c r="A83" s="5" t="s">
        <v>322</v>
      </c>
      <c r="B83" s="5" t="s">
        <v>323</v>
      </c>
      <c r="C83" s="28"/>
      <c r="D83" s="28"/>
      <c r="E83" s="28">
        <v>274420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5"/>
      <c r="AE83" s="25">
        <f t="shared" si="8"/>
        <v>274420</v>
      </c>
    </row>
    <row r="84" spans="1:31" s="6" customFormat="1" ht="10.5">
      <c r="A84" s="5" t="s">
        <v>324</v>
      </c>
      <c r="B84" s="5" t="s">
        <v>325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5">
        <v>91954</v>
      </c>
      <c r="AE84" s="25">
        <f t="shared" si="8"/>
        <v>91954</v>
      </c>
    </row>
    <row r="85" spans="1:31" s="1" customFormat="1" ht="19.5" customHeight="1">
      <c r="A85" s="5" t="s">
        <v>326</v>
      </c>
      <c r="B85" s="5" t="s">
        <v>327</v>
      </c>
      <c r="C85" s="30"/>
      <c r="D85" s="30"/>
      <c r="E85" s="30"/>
      <c r="F85" s="30"/>
      <c r="G85" s="30"/>
      <c r="H85" s="30">
        <v>49000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25"/>
      <c r="AE85" s="25">
        <f t="shared" si="8"/>
        <v>49000</v>
      </c>
    </row>
    <row r="86" spans="1:71" s="1" customFormat="1" ht="11.25">
      <c r="A86" s="5" t="s">
        <v>8</v>
      </c>
      <c r="B86" s="5" t="s">
        <v>7</v>
      </c>
      <c r="C86" s="27"/>
      <c r="D86" s="27"/>
      <c r="E86" s="29">
        <v>112856</v>
      </c>
      <c r="F86" s="27"/>
      <c r="G86" s="27"/>
      <c r="H86" s="27"/>
      <c r="I86" s="27"/>
      <c r="J86" s="27"/>
      <c r="K86" s="27"/>
      <c r="L86" s="27"/>
      <c r="M86" s="27"/>
      <c r="N86" s="27"/>
      <c r="O86" s="29">
        <v>1204529.81</v>
      </c>
      <c r="P86" s="27"/>
      <c r="Q86" s="27"/>
      <c r="R86" s="29">
        <v>8947600.73</v>
      </c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5"/>
      <c r="AE86" s="25">
        <f t="shared" si="8"/>
        <v>10264986.540000001</v>
      </c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</row>
    <row r="87" spans="1:31" s="1" customFormat="1" ht="11.25">
      <c r="A87" s="5" t="s">
        <v>10</v>
      </c>
      <c r="B87" s="5" t="s">
        <v>9</v>
      </c>
      <c r="C87" s="27"/>
      <c r="D87" s="27"/>
      <c r="E87" s="29">
        <v>6139253</v>
      </c>
      <c r="F87" s="27"/>
      <c r="G87" s="31">
        <v>7045518</v>
      </c>
      <c r="H87" s="29">
        <v>168000</v>
      </c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9">
        <v>3891580</v>
      </c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5"/>
      <c r="AE87" s="25">
        <f t="shared" si="8"/>
        <v>17244351</v>
      </c>
    </row>
    <row r="88" spans="1:31" s="6" customFormat="1" ht="10.5">
      <c r="A88" s="5" t="s">
        <v>328</v>
      </c>
      <c r="B88" s="5" t="s">
        <v>329</v>
      </c>
      <c r="C88" s="28"/>
      <c r="D88" s="28">
        <v>417195</v>
      </c>
      <c r="E88" s="28">
        <v>5628400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5"/>
      <c r="AE88" s="25">
        <f t="shared" si="8"/>
        <v>6045595</v>
      </c>
    </row>
    <row r="89" spans="1:31" s="6" customFormat="1" ht="10.5">
      <c r="A89" s="5" t="s">
        <v>497</v>
      </c>
      <c r="B89" s="5" t="s">
        <v>498</v>
      </c>
      <c r="C89" s="28"/>
      <c r="D89" s="28"/>
      <c r="E89" s="28"/>
      <c r="F89" s="28"/>
      <c r="G89" s="28"/>
      <c r="H89" s="28"/>
      <c r="I89" s="28"/>
      <c r="J89" s="28"/>
      <c r="K89" s="28"/>
      <c r="L89" s="28">
        <v>10174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5"/>
      <c r="AE89" s="25">
        <f t="shared" si="8"/>
        <v>10174</v>
      </c>
    </row>
    <row r="90" spans="1:31" s="1" customFormat="1" ht="11.25">
      <c r="A90" s="5" t="s">
        <v>330</v>
      </c>
      <c r="B90" s="5" t="s">
        <v>331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>
        <v>467250</v>
      </c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25"/>
      <c r="AE90" s="25">
        <f t="shared" si="8"/>
        <v>467250</v>
      </c>
    </row>
    <row r="91" spans="1:71" s="1" customFormat="1" ht="11.25">
      <c r="A91" s="5" t="s">
        <v>332</v>
      </c>
      <c r="B91" s="5" t="s">
        <v>333</v>
      </c>
      <c r="C91" s="27"/>
      <c r="D91" s="27"/>
      <c r="E91" s="29">
        <v>636370</v>
      </c>
      <c r="F91" s="29"/>
      <c r="G91" s="29">
        <v>357088</v>
      </c>
      <c r="H91" s="29"/>
      <c r="I91" s="29"/>
      <c r="J91" s="29"/>
      <c r="K91" s="29">
        <v>114588</v>
      </c>
      <c r="L91" s="27"/>
      <c r="M91" s="27"/>
      <c r="N91" s="29">
        <v>539700</v>
      </c>
      <c r="O91" s="27"/>
      <c r="P91" s="27"/>
      <c r="Q91" s="27"/>
      <c r="R91" s="29">
        <f>288+2592+489</f>
        <v>3369</v>
      </c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5"/>
      <c r="AE91" s="25">
        <f t="shared" si="8"/>
        <v>1651115</v>
      </c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</row>
    <row r="92" spans="1:31" s="1" customFormat="1" ht="11.25">
      <c r="A92" s="5" t="s">
        <v>334</v>
      </c>
      <c r="B92" s="5" t="s">
        <v>335</v>
      </c>
      <c r="C92" s="27"/>
      <c r="D92" s="27"/>
      <c r="E92" s="27"/>
      <c r="F92" s="27"/>
      <c r="G92" s="31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9">
        <v>1517800</v>
      </c>
      <c r="X92" s="27"/>
      <c r="Y92" s="27"/>
      <c r="Z92" s="27"/>
      <c r="AA92" s="27"/>
      <c r="AB92" s="27"/>
      <c r="AC92" s="27"/>
      <c r="AD92" s="25"/>
      <c r="AE92" s="25">
        <f t="shared" si="8"/>
        <v>1517800</v>
      </c>
    </row>
    <row r="93" spans="1:31" s="6" customFormat="1" ht="20.25" customHeight="1">
      <c r="A93" s="5" t="s">
        <v>12</v>
      </c>
      <c r="B93" s="5" t="s">
        <v>11</v>
      </c>
      <c r="C93" s="28"/>
      <c r="D93" s="28"/>
      <c r="E93" s="28">
        <v>616477</v>
      </c>
      <c r="F93" s="28"/>
      <c r="G93" s="28"/>
      <c r="H93" s="28">
        <v>70000</v>
      </c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5"/>
      <c r="AE93" s="25">
        <f t="shared" si="8"/>
        <v>686477</v>
      </c>
    </row>
    <row r="94" spans="1:31" s="6" customFormat="1" ht="10.5">
      <c r="A94" s="5" t="s">
        <v>14</v>
      </c>
      <c r="B94" s="5" t="s">
        <v>13</v>
      </c>
      <c r="C94" s="28"/>
      <c r="E94" s="28">
        <v>2535618</v>
      </c>
      <c r="F94" s="28"/>
      <c r="G94" s="28">
        <v>3054090</v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5"/>
      <c r="AE94" s="25">
        <f t="shared" si="8"/>
        <v>5589708</v>
      </c>
    </row>
    <row r="95" spans="1:31" s="6" customFormat="1" ht="10.5">
      <c r="A95" s="5" t="s">
        <v>16</v>
      </c>
      <c r="B95" s="5" t="s">
        <v>15</v>
      </c>
      <c r="C95" s="28"/>
      <c r="D95" s="28"/>
      <c r="E95" s="28"/>
      <c r="F95" s="28"/>
      <c r="G95" s="28"/>
      <c r="H95" s="28"/>
      <c r="I95" s="28"/>
      <c r="J95" s="28">
        <v>1301880</v>
      </c>
      <c r="K95" s="28"/>
      <c r="L95" s="28"/>
      <c r="M95" s="28"/>
      <c r="N95" s="28"/>
      <c r="O95" s="28"/>
      <c r="P95" s="28"/>
      <c r="Q95" s="28"/>
      <c r="R95" s="28"/>
      <c r="S95" s="28">
        <v>7835100</v>
      </c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5"/>
      <c r="AE95" s="25">
        <f t="shared" si="8"/>
        <v>9136980</v>
      </c>
    </row>
    <row r="96" spans="1:31" s="6" customFormat="1" ht="15.75" customHeight="1">
      <c r="A96" s="5" t="s">
        <v>18</v>
      </c>
      <c r="B96" s="5" t="s">
        <v>17</v>
      </c>
      <c r="C96" s="28"/>
      <c r="D96" s="28"/>
      <c r="E96" s="28">
        <v>3019491</v>
      </c>
      <c r="F96" s="28"/>
      <c r="G96" s="28">
        <f>909037.4+8181336.6</f>
        <v>9090374</v>
      </c>
      <c r="H96" s="28"/>
      <c r="I96" s="28"/>
      <c r="J96" s="28"/>
      <c r="K96" s="28"/>
      <c r="L96" s="28"/>
      <c r="M96" s="28"/>
      <c r="N96" s="28">
        <v>789236</v>
      </c>
      <c r="O96" s="28">
        <v>2476173</v>
      </c>
      <c r="P96" s="28"/>
      <c r="Q96" s="28"/>
      <c r="R96" s="28">
        <f>31803+501006</f>
        <v>532809</v>
      </c>
      <c r="S96" s="28">
        <v>5115600</v>
      </c>
      <c r="T96" s="28"/>
      <c r="U96" s="28">
        <v>32000</v>
      </c>
      <c r="V96" s="28"/>
      <c r="W96" s="28"/>
      <c r="X96" s="28"/>
      <c r="Y96" s="28"/>
      <c r="Z96" s="28"/>
      <c r="AA96" s="28"/>
      <c r="AB96" s="28"/>
      <c r="AC96" s="28"/>
      <c r="AD96" s="25"/>
      <c r="AE96" s="25">
        <f t="shared" si="8"/>
        <v>21055683</v>
      </c>
    </row>
    <row r="97" spans="1:31" s="6" customFormat="1" ht="17.25" customHeight="1">
      <c r="A97" s="5" t="s">
        <v>20</v>
      </c>
      <c r="B97" s="5" t="s">
        <v>19</v>
      </c>
      <c r="C97" s="28"/>
      <c r="D97" s="28"/>
      <c r="E97" s="28">
        <v>932357</v>
      </c>
      <c r="F97" s="28"/>
      <c r="G97" s="28">
        <v>439927</v>
      </c>
      <c r="H97" s="28">
        <v>133000</v>
      </c>
      <c r="I97" s="28"/>
      <c r="J97" s="28"/>
      <c r="K97" s="28">
        <v>24380</v>
      </c>
      <c r="L97" s="28"/>
      <c r="M97" s="28"/>
      <c r="N97" s="28">
        <v>1016948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5"/>
      <c r="AE97" s="25">
        <f t="shared" si="8"/>
        <v>2546612</v>
      </c>
    </row>
    <row r="98" spans="1:31" s="1" customFormat="1" ht="11.25">
      <c r="A98" s="5" t="s">
        <v>22</v>
      </c>
      <c r="B98" s="5" t="s">
        <v>21</v>
      </c>
      <c r="C98" s="30"/>
      <c r="D98" s="30"/>
      <c r="E98" s="30">
        <v>741554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25"/>
      <c r="AE98" s="25">
        <f t="shared" si="8"/>
        <v>741554</v>
      </c>
    </row>
    <row r="99" spans="1:31" s="1" customFormat="1" ht="11.25">
      <c r="A99" s="5" t="s">
        <v>24</v>
      </c>
      <c r="B99" s="5" t="s">
        <v>23</v>
      </c>
      <c r="C99" s="27"/>
      <c r="D99" s="27"/>
      <c r="E99" s="29">
        <v>4783088</v>
      </c>
      <c r="F99" s="27"/>
      <c r="G99" s="29">
        <v>7910826</v>
      </c>
      <c r="H99" s="29">
        <v>273000</v>
      </c>
      <c r="I99" s="29"/>
      <c r="J99" s="29"/>
      <c r="K99" s="29"/>
      <c r="L99" s="29"/>
      <c r="M99" s="29"/>
      <c r="N99" s="29">
        <v>3084745</v>
      </c>
      <c r="O99" s="29"/>
      <c r="P99" s="29"/>
      <c r="Q99" s="29"/>
      <c r="R99" s="29"/>
      <c r="S99" s="29">
        <v>4422250</v>
      </c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5"/>
      <c r="AE99" s="25">
        <f t="shared" si="8"/>
        <v>20473909</v>
      </c>
    </row>
    <row r="100" spans="1:31" s="1" customFormat="1" ht="11.25">
      <c r="A100" s="5" t="s">
        <v>26</v>
      </c>
      <c r="B100" s="5" t="s">
        <v>25</v>
      </c>
      <c r="C100" s="25"/>
      <c r="D100" s="25"/>
      <c r="E100" s="25">
        <v>2843937</v>
      </c>
      <c r="F100" s="25"/>
      <c r="G100" s="25">
        <v>3374457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>
        <v>1980000</v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>
        <f t="shared" si="8"/>
        <v>8198394</v>
      </c>
    </row>
    <row r="101" spans="1:31" s="1" customFormat="1" ht="11.25">
      <c r="A101" s="18" t="s">
        <v>231</v>
      </c>
      <c r="B101" s="4"/>
      <c r="C101" s="33">
        <f>SUM(C103:C131)</f>
        <v>7200</v>
      </c>
      <c r="D101" s="33">
        <f aca="true" t="shared" si="9" ref="D101:AE101">SUM(D103:D131)</f>
        <v>0</v>
      </c>
      <c r="E101" s="33">
        <f t="shared" si="9"/>
        <v>87806450</v>
      </c>
      <c r="F101" s="33">
        <f t="shared" si="9"/>
        <v>5548256</v>
      </c>
      <c r="G101" s="33">
        <f t="shared" si="9"/>
        <v>59048754</v>
      </c>
      <c r="H101" s="33">
        <f t="shared" si="9"/>
        <v>3150000</v>
      </c>
      <c r="I101" s="33">
        <f t="shared" si="9"/>
        <v>0</v>
      </c>
      <c r="J101" s="33">
        <f t="shared" si="9"/>
        <v>0</v>
      </c>
      <c r="K101" s="33">
        <f t="shared" si="9"/>
        <v>658268</v>
      </c>
      <c r="L101" s="33">
        <f t="shared" si="9"/>
        <v>0</v>
      </c>
      <c r="M101" s="33">
        <f t="shared" si="9"/>
        <v>0</v>
      </c>
      <c r="N101" s="33">
        <f t="shared" si="9"/>
        <v>11975620</v>
      </c>
      <c r="O101" s="33">
        <f t="shared" si="9"/>
        <v>15406700.14</v>
      </c>
      <c r="P101" s="33">
        <f t="shared" si="9"/>
        <v>0</v>
      </c>
      <c r="Q101" s="33">
        <f t="shared" si="9"/>
        <v>3132021.33</v>
      </c>
      <c r="R101" s="33">
        <f t="shared" si="9"/>
        <v>16499943.070000002</v>
      </c>
      <c r="S101" s="33">
        <f t="shared" si="9"/>
        <v>35519711</v>
      </c>
      <c r="T101" s="33">
        <f t="shared" si="9"/>
        <v>0</v>
      </c>
      <c r="U101" s="33">
        <f t="shared" si="9"/>
        <v>12000</v>
      </c>
      <c r="V101" s="33">
        <f t="shared" si="9"/>
        <v>0</v>
      </c>
      <c r="W101" s="33">
        <f t="shared" si="9"/>
        <v>0</v>
      </c>
      <c r="X101" s="33">
        <f t="shared" si="9"/>
        <v>33029276</v>
      </c>
      <c r="Y101" s="33">
        <f t="shared" si="9"/>
        <v>0</v>
      </c>
      <c r="Z101" s="33">
        <f t="shared" si="9"/>
        <v>8901079</v>
      </c>
      <c r="AA101" s="33">
        <f t="shared" si="9"/>
        <v>0</v>
      </c>
      <c r="AB101" s="33">
        <f t="shared" si="9"/>
        <v>1860085</v>
      </c>
      <c r="AC101" s="33">
        <f t="shared" si="9"/>
        <v>0</v>
      </c>
      <c r="AD101" s="33">
        <f t="shared" si="9"/>
        <v>183908</v>
      </c>
      <c r="AE101" s="33">
        <f t="shared" si="9"/>
        <v>282739271.54</v>
      </c>
    </row>
    <row r="102" spans="1:31" s="1" customFormat="1" ht="11.25">
      <c r="A102" s="4"/>
      <c r="B102" s="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>
        <f>SUM(C102:AD102)</f>
        <v>0</v>
      </c>
    </row>
    <row r="103" spans="1:31" s="1" customFormat="1" ht="11.25">
      <c r="A103" s="5" t="s">
        <v>29</v>
      </c>
      <c r="B103" s="5" t="s">
        <v>28</v>
      </c>
      <c r="C103" s="25"/>
      <c r="D103" s="25"/>
      <c r="E103" s="25">
        <v>3110599</v>
      </c>
      <c r="F103" s="25"/>
      <c r="G103" s="25">
        <v>2012014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>
        <v>3180100</v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>
        <f>SUM(C103:AD103)</f>
        <v>8302713</v>
      </c>
    </row>
    <row r="104" spans="1:31" s="1" customFormat="1" ht="11.25">
      <c r="A104" s="5" t="s">
        <v>31</v>
      </c>
      <c r="B104" s="5" t="s">
        <v>30</v>
      </c>
      <c r="D104" s="25"/>
      <c r="E104" s="25">
        <v>16583620</v>
      </c>
      <c r="F104" s="25"/>
      <c r="G104" s="25">
        <v>12538901</v>
      </c>
      <c r="H104" s="25">
        <v>1386000</v>
      </c>
      <c r="I104" s="25"/>
      <c r="J104" s="25"/>
      <c r="K104" s="25"/>
      <c r="L104" s="25"/>
      <c r="M104" s="25"/>
      <c r="N104" s="25">
        <v>1216250</v>
      </c>
      <c r="O104" s="25">
        <f>4047+76882+549.56+10441.56+25713+499293.94</f>
        <v>616927.06</v>
      </c>
      <c r="P104" s="25"/>
      <c r="Q104" s="25"/>
      <c r="R104" s="25">
        <f>50021+450188+2456+22100+4174+41372</f>
        <v>570311</v>
      </c>
      <c r="S104" s="25">
        <f>636216+5725944+1545000+612081</f>
        <v>8519241</v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>
        <f>SUM(D104:AD104)</f>
        <v>41431250.06</v>
      </c>
    </row>
    <row r="105" spans="1:31" s="1" customFormat="1" ht="21">
      <c r="A105" s="5" t="s">
        <v>33</v>
      </c>
      <c r="B105" s="5" t="s">
        <v>32</v>
      </c>
      <c r="C105" s="25"/>
      <c r="D105" s="25"/>
      <c r="E105" s="25"/>
      <c r="F105" s="25">
        <v>5548256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>
        <f aca="true" t="shared" si="10" ref="AE105:AE131">SUM(C105:AD105)</f>
        <v>5548256</v>
      </c>
    </row>
    <row r="106" spans="1:31" s="1" customFormat="1" ht="11.25">
      <c r="A106" s="5" t="s">
        <v>35</v>
      </c>
      <c r="B106" s="5" t="s">
        <v>34</v>
      </c>
      <c r="C106" s="25"/>
      <c r="D106" s="25"/>
      <c r="E106" s="25">
        <v>14988357</v>
      </c>
      <c r="F106" s="25"/>
      <c r="G106" s="25">
        <v>10222162</v>
      </c>
      <c r="H106" s="25">
        <v>455000</v>
      </c>
      <c r="I106" s="25"/>
      <c r="J106" s="25"/>
      <c r="K106" s="25">
        <v>658268</v>
      </c>
      <c r="L106" s="25"/>
      <c r="M106" s="25"/>
      <c r="N106" s="25">
        <v>1348728</v>
      </c>
      <c r="O106" s="25">
        <v>3569486</v>
      </c>
      <c r="P106" s="25"/>
      <c r="Q106" s="25"/>
      <c r="R106" s="25">
        <f>54742.46+262136.75+2225436.44</f>
        <v>2542315.65</v>
      </c>
      <c r="S106" s="25">
        <v>6489560</v>
      </c>
      <c r="T106" s="25"/>
      <c r="U106" s="25"/>
      <c r="V106" s="25"/>
      <c r="W106" s="25"/>
      <c r="X106" s="25">
        <v>7362560</v>
      </c>
      <c r="Y106" s="25"/>
      <c r="Z106" s="25"/>
      <c r="AA106" s="25"/>
      <c r="AB106" s="25"/>
      <c r="AC106" s="25"/>
      <c r="AD106" s="25"/>
      <c r="AE106" s="25">
        <f t="shared" si="10"/>
        <v>47636436.65</v>
      </c>
    </row>
    <row r="107" spans="1:31" s="1" customFormat="1" ht="11.25">
      <c r="A107" s="5" t="s">
        <v>467</v>
      </c>
      <c r="B107" s="5" t="s">
        <v>468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>
        <v>91954</v>
      </c>
      <c r="AE107" s="25">
        <f t="shared" si="10"/>
        <v>91954</v>
      </c>
    </row>
    <row r="108" spans="1:31" s="1" customFormat="1" ht="21">
      <c r="A108" s="5" t="s">
        <v>336</v>
      </c>
      <c r="B108" s="5" t="s">
        <v>337</v>
      </c>
      <c r="C108" s="25"/>
      <c r="D108" s="25"/>
      <c r="E108" s="25">
        <v>197498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>
        <f t="shared" si="10"/>
        <v>197498</v>
      </c>
    </row>
    <row r="109" spans="1:31" ht="12.75">
      <c r="A109" s="5" t="s">
        <v>37</v>
      </c>
      <c r="B109" s="5" t="s">
        <v>36</v>
      </c>
      <c r="C109" s="25"/>
      <c r="D109" s="25"/>
      <c r="E109" s="25">
        <f>890473+5124</f>
        <v>895597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>
        <v>40099</v>
      </c>
      <c r="P109" s="25"/>
      <c r="Q109" s="25">
        <v>2916416.33</v>
      </c>
      <c r="R109" s="25"/>
      <c r="S109" s="25"/>
      <c r="T109" s="25"/>
      <c r="U109" s="25">
        <f>2400+9600</f>
        <v>12000</v>
      </c>
      <c r="V109" s="25"/>
      <c r="W109" s="25"/>
      <c r="X109" s="25"/>
      <c r="Y109" s="25"/>
      <c r="Z109" s="25"/>
      <c r="AA109" s="25"/>
      <c r="AB109" s="25"/>
      <c r="AC109" s="25"/>
      <c r="AD109" s="25"/>
      <c r="AE109" s="25">
        <f t="shared" si="10"/>
        <v>3864112.33</v>
      </c>
    </row>
    <row r="110" spans="1:31" ht="12.75">
      <c r="A110" s="5" t="s">
        <v>39</v>
      </c>
      <c r="B110" s="5" t="s">
        <v>38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>
        <v>84444</v>
      </c>
      <c r="P110" s="25"/>
      <c r="Q110" s="25"/>
      <c r="R110" s="25">
        <v>10661047</v>
      </c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>
        <f t="shared" si="10"/>
        <v>10745491</v>
      </c>
    </row>
    <row r="111" spans="1:31" ht="12.75">
      <c r="A111" s="5" t="s">
        <v>465</v>
      </c>
      <c r="B111" s="5" t="s">
        <v>40</v>
      </c>
      <c r="C111" s="25"/>
      <c r="D111" s="25"/>
      <c r="E111" s="25">
        <v>8850505</v>
      </c>
      <c r="F111" s="25"/>
      <c r="G111" s="25">
        <v>10593586</v>
      </c>
      <c r="H111" s="25">
        <v>329000</v>
      </c>
      <c r="I111" s="25"/>
      <c r="J111" s="25"/>
      <c r="K111" s="25"/>
      <c r="L111" s="25"/>
      <c r="M111" s="25"/>
      <c r="N111" s="25">
        <v>3847002</v>
      </c>
      <c r="O111" s="25">
        <v>280742</v>
      </c>
      <c r="P111" s="25"/>
      <c r="Q111" s="25"/>
      <c r="R111" s="25"/>
      <c r="S111" s="25">
        <v>4998000</v>
      </c>
      <c r="T111" s="25"/>
      <c r="U111" s="25"/>
      <c r="V111" s="25"/>
      <c r="W111" s="25"/>
      <c r="X111" s="25">
        <v>15106573</v>
      </c>
      <c r="Y111" s="25"/>
      <c r="Z111" s="25">
        <v>3557600</v>
      </c>
      <c r="AA111" s="25"/>
      <c r="AB111" s="25"/>
      <c r="AC111" s="25"/>
      <c r="AD111" s="25"/>
      <c r="AE111" s="25">
        <f t="shared" si="10"/>
        <v>47563008</v>
      </c>
    </row>
    <row r="112" spans="1:31" ht="12.75">
      <c r="A112" s="5" t="s">
        <v>42</v>
      </c>
      <c r="B112" s="5" t="s">
        <v>41</v>
      </c>
      <c r="C112" s="25"/>
      <c r="D112" s="25"/>
      <c r="E112" s="25">
        <f>148000.2+1332001.8+71743+5203585</f>
        <v>6755330</v>
      </c>
      <c r="F112" s="25"/>
      <c r="G112" s="25">
        <v>1657312</v>
      </c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>
        <f t="shared" si="10"/>
        <v>8412642</v>
      </c>
    </row>
    <row r="113" spans="1:31" ht="12.75">
      <c r="A113" s="5" t="s">
        <v>338</v>
      </c>
      <c r="B113" s="5" t="s">
        <v>339</v>
      </c>
      <c r="C113" s="25"/>
      <c r="D113" s="25"/>
      <c r="E113" s="25">
        <v>3517362</v>
      </c>
      <c r="F113" s="25"/>
      <c r="G113" s="25">
        <v>2741805</v>
      </c>
      <c r="H113" s="25"/>
      <c r="I113" s="25"/>
      <c r="J113" s="25"/>
      <c r="K113" s="25"/>
      <c r="L113" s="25"/>
      <c r="M113" s="25"/>
      <c r="N113" s="25">
        <v>2583803</v>
      </c>
      <c r="O113" s="25">
        <v>322084</v>
      </c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>
        <f t="shared" si="10"/>
        <v>9165054</v>
      </c>
    </row>
    <row r="114" spans="1:31" ht="12.75">
      <c r="A114" s="5" t="s">
        <v>44</v>
      </c>
      <c r="B114" s="5" t="s">
        <v>43</v>
      </c>
      <c r="C114" s="25"/>
      <c r="D114" s="25"/>
      <c r="E114" s="25">
        <f>8017768+51245</f>
        <v>8069013</v>
      </c>
      <c r="F114" s="25"/>
      <c r="G114" s="25">
        <v>4934710</v>
      </c>
      <c r="H114" s="25">
        <v>147000</v>
      </c>
      <c r="I114" s="25"/>
      <c r="J114" s="25"/>
      <c r="K114" s="25"/>
      <c r="L114" s="25"/>
      <c r="M114" s="25"/>
      <c r="N114" s="25">
        <v>1406228</v>
      </c>
      <c r="O114" s="25">
        <v>2931266.08</v>
      </c>
      <c r="P114" s="25"/>
      <c r="Q114" s="25"/>
      <c r="R114" s="25">
        <f>5857068.86-4312000</f>
        <v>1545068.8600000003</v>
      </c>
      <c r="S114" s="25">
        <v>4312000</v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>
        <f t="shared" si="10"/>
        <v>23345285.939999998</v>
      </c>
    </row>
    <row r="115" spans="1:31" ht="12.75">
      <c r="A115" s="5" t="s">
        <v>46</v>
      </c>
      <c r="B115" s="5" t="s">
        <v>45</v>
      </c>
      <c r="C115" s="25"/>
      <c r="D115" s="25"/>
      <c r="E115" s="25">
        <v>6645541</v>
      </c>
      <c r="F115" s="25"/>
      <c r="G115" s="25">
        <v>4788182</v>
      </c>
      <c r="H115" s="25">
        <v>203000</v>
      </c>
      <c r="I115" s="25"/>
      <c r="J115" s="25"/>
      <c r="K115" s="25"/>
      <c r="L115" s="25"/>
      <c r="M115" s="25"/>
      <c r="N115" s="25"/>
      <c r="O115" s="25">
        <v>4006493</v>
      </c>
      <c r="P115" s="25"/>
      <c r="Q115" s="25"/>
      <c r="R115" s="25">
        <v>1181200.56</v>
      </c>
      <c r="S115" s="25">
        <v>4468800</v>
      </c>
      <c r="T115" s="25"/>
      <c r="U115" s="25"/>
      <c r="V115" s="25"/>
      <c r="W115" s="25"/>
      <c r="X115" s="25">
        <v>10560143</v>
      </c>
      <c r="Y115" s="25"/>
      <c r="Z115" s="25"/>
      <c r="AA115" s="25"/>
      <c r="AB115" s="25"/>
      <c r="AC115" s="25"/>
      <c r="AD115" s="25"/>
      <c r="AE115" s="25">
        <f t="shared" si="10"/>
        <v>31853359.56</v>
      </c>
    </row>
    <row r="116" spans="1:31" ht="12.75">
      <c r="A116" s="5" t="s">
        <v>340</v>
      </c>
      <c r="B116" s="5" t="s">
        <v>341</v>
      </c>
      <c r="C116" s="25"/>
      <c r="D116" s="25"/>
      <c r="E116" s="25">
        <v>417050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>
        <f t="shared" si="10"/>
        <v>417050</v>
      </c>
    </row>
    <row r="117" spans="1:31" ht="21">
      <c r="A117" s="5" t="s">
        <v>342</v>
      </c>
      <c r="B117" s="5" t="s">
        <v>343</v>
      </c>
      <c r="C117" s="25"/>
      <c r="D117" s="25"/>
      <c r="E117" s="25">
        <v>107895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>
        <f t="shared" si="10"/>
        <v>107895</v>
      </c>
    </row>
    <row r="118" spans="1:31" ht="43.5" customHeight="1">
      <c r="A118" s="5" t="s">
        <v>479</v>
      </c>
      <c r="B118" s="5" t="s">
        <v>480</v>
      </c>
      <c r="C118" s="25"/>
      <c r="D118" s="25"/>
      <c r="E118" s="25">
        <v>338568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>
        <f t="shared" si="10"/>
        <v>338568</v>
      </c>
    </row>
    <row r="119" spans="1:31" ht="21">
      <c r="A119" s="5" t="s">
        <v>344</v>
      </c>
      <c r="B119" s="5" t="s">
        <v>345</v>
      </c>
      <c r="C119" s="25"/>
      <c r="D119" s="25"/>
      <c r="E119" s="25">
        <v>18079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>
        <f t="shared" si="10"/>
        <v>18079</v>
      </c>
    </row>
    <row r="120" spans="1:31" ht="21">
      <c r="A120" s="5" t="s">
        <v>346</v>
      </c>
      <c r="B120" s="5" t="s">
        <v>347</v>
      </c>
      <c r="C120" s="25"/>
      <c r="D120" s="25"/>
      <c r="E120" s="25">
        <v>423210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>
        <f t="shared" si="10"/>
        <v>423210</v>
      </c>
    </row>
    <row r="121" spans="1:31" ht="21">
      <c r="A121" s="5" t="s">
        <v>348</v>
      </c>
      <c r="B121" s="5" t="s">
        <v>349</v>
      </c>
      <c r="C121" s="25"/>
      <c r="D121" s="25"/>
      <c r="E121" s="25"/>
      <c r="F121" s="25"/>
      <c r="G121" s="25"/>
      <c r="H121" s="25">
        <v>560000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>
        <f t="shared" si="10"/>
        <v>560000</v>
      </c>
    </row>
    <row r="122" spans="1:31" ht="21">
      <c r="A122" s="5" t="s">
        <v>350</v>
      </c>
      <c r="B122" s="5" t="s">
        <v>351</v>
      </c>
      <c r="C122" s="25"/>
      <c r="D122" s="25"/>
      <c r="E122" s="25">
        <v>253926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>
        <f t="shared" si="10"/>
        <v>253926</v>
      </c>
    </row>
    <row r="123" spans="1:31" ht="12.75">
      <c r="A123" s="5" t="s">
        <v>352</v>
      </c>
      <c r="B123" s="5" t="s">
        <v>353</v>
      </c>
      <c r="C123" s="25"/>
      <c r="D123" s="25"/>
      <c r="E123" s="25">
        <f>59249.5+533245.5</f>
        <v>592495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>
        <f t="shared" si="10"/>
        <v>592495</v>
      </c>
    </row>
    <row r="124" spans="1:31" ht="12.75">
      <c r="A124" s="5" t="s">
        <v>354</v>
      </c>
      <c r="B124" s="5" t="s">
        <v>355</v>
      </c>
      <c r="C124" s="25"/>
      <c r="D124" s="25"/>
      <c r="E124" s="25">
        <v>123327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>
        <f t="shared" si="10"/>
        <v>123327</v>
      </c>
    </row>
    <row r="125" spans="1:31" ht="12.75">
      <c r="A125" s="5" t="s">
        <v>48</v>
      </c>
      <c r="B125" s="5" t="s">
        <v>47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>
        <v>2070563</v>
      </c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>
        <f t="shared" si="10"/>
        <v>2070563</v>
      </c>
    </row>
    <row r="126" spans="1:31" ht="12.75">
      <c r="A126" s="5" t="s">
        <v>356</v>
      </c>
      <c r="B126" s="5" t="s">
        <v>357</v>
      </c>
      <c r="C126" s="25"/>
      <c r="D126" s="25"/>
      <c r="E126" s="25">
        <v>388731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>
        <f t="shared" si="10"/>
        <v>388731</v>
      </c>
    </row>
    <row r="127" spans="1:31" ht="12.75">
      <c r="A127" s="5" t="s">
        <v>50</v>
      </c>
      <c r="B127" s="5" t="s">
        <v>49</v>
      </c>
      <c r="C127" s="25">
        <v>7200</v>
      </c>
      <c r="D127" s="25"/>
      <c r="E127" s="25">
        <v>1167642</v>
      </c>
      <c r="F127" s="25"/>
      <c r="G127" s="25"/>
      <c r="H127" s="25"/>
      <c r="I127" s="25"/>
      <c r="J127" s="25"/>
      <c r="K127" s="25"/>
      <c r="L127" s="25"/>
      <c r="M127" s="25"/>
      <c r="N127" s="25"/>
      <c r="O127" s="25">
        <v>7045</v>
      </c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>
        <f t="shared" si="10"/>
        <v>1181887</v>
      </c>
    </row>
    <row r="128" spans="1:31" ht="12.75">
      <c r="A128" s="5" t="s">
        <v>52</v>
      </c>
      <c r="B128" s="5" t="s">
        <v>51</v>
      </c>
      <c r="C128" s="25"/>
      <c r="D128" s="25"/>
      <c r="E128" s="25">
        <v>5284101</v>
      </c>
      <c r="F128" s="25"/>
      <c r="G128" s="25">
        <v>3753264</v>
      </c>
      <c r="H128" s="25"/>
      <c r="I128" s="25"/>
      <c r="J128" s="25"/>
      <c r="K128" s="25"/>
      <c r="L128" s="25"/>
      <c r="M128" s="25"/>
      <c r="N128" s="25">
        <v>402000</v>
      </c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>
        <f t="shared" si="10"/>
        <v>9439365</v>
      </c>
    </row>
    <row r="129" spans="1:31" ht="12.75">
      <c r="A129" s="5" t="s">
        <v>358</v>
      </c>
      <c r="B129" s="5" t="s">
        <v>359</v>
      </c>
      <c r="C129" s="25"/>
      <c r="D129" s="25"/>
      <c r="E129" s="25">
        <v>2832063</v>
      </c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>
        <v>4417924</v>
      </c>
      <c r="AA129" s="25"/>
      <c r="AB129" s="25"/>
      <c r="AC129" s="25"/>
      <c r="AD129" s="25"/>
      <c r="AE129" s="25">
        <f t="shared" si="10"/>
        <v>7249987</v>
      </c>
    </row>
    <row r="130" spans="1:31" ht="12.75">
      <c r="A130" s="5" t="s">
        <v>360</v>
      </c>
      <c r="B130" s="5" t="s">
        <v>361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>
        <v>91954</v>
      </c>
      <c r="AE130" s="25">
        <f t="shared" si="10"/>
        <v>91954</v>
      </c>
    </row>
    <row r="131" spans="1:31" ht="12.75">
      <c r="A131" s="5" t="s">
        <v>230</v>
      </c>
      <c r="B131" s="5" t="s">
        <v>229</v>
      </c>
      <c r="C131" s="25"/>
      <c r="D131" s="25"/>
      <c r="E131" s="25">
        <v>6245941</v>
      </c>
      <c r="F131" s="25"/>
      <c r="G131" s="25">
        <f>580681.8+5226136.2</f>
        <v>5806818</v>
      </c>
      <c r="H131" s="25">
        <v>70000</v>
      </c>
      <c r="I131" s="25"/>
      <c r="J131" s="25"/>
      <c r="K131" s="25"/>
      <c r="L131" s="25"/>
      <c r="M131" s="25"/>
      <c r="N131" s="25">
        <v>1171609</v>
      </c>
      <c r="O131" s="25">
        <v>1477551</v>
      </c>
      <c r="P131" s="25"/>
      <c r="Q131" s="25">
        <f>21560.5+194044.5</f>
        <v>215605</v>
      </c>
      <c r="R131" s="25"/>
      <c r="S131" s="25">
        <v>3552010</v>
      </c>
      <c r="T131" s="25"/>
      <c r="U131" s="25"/>
      <c r="V131" s="25"/>
      <c r="W131" s="25"/>
      <c r="X131" s="25"/>
      <c r="Y131" s="25"/>
      <c r="Z131" s="25">
        <v>925555</v>
      </c>
      <c r="AA131" s="25"/>
      <c r="AB131" s="25">
        <f>186008.5+1674076.5</f>
        <v>1860085</v>
      </c>
      <c r="AC131" s="25"/>
      <c r="AD131" s="25"/>
      <c r="AE131" s="25">
        <f t="shared" si="10"/>
        <v>21325174</v>
      </c>
    </row>
    <row r="132" spans="1:31" ht="12.75">
      <c r="A132" s="18" t="s">
        <v>234</v>
      </c>
      <c r="B132" s="4"/>
      <c r="C132" s="33">
        <f>SUM(C134:C139)</f>
        <v>61600</v>
      </c>
      <c r="D132" s="33">
        <f aca="true" t="shared" si="11" ref="D132:AE132">SUM(D134:D139)</f>
        <v>0</v>
      </c>
      <c r="E132" s="33">
        <f t="shared" si="11"/>
        <v>27470014</v>
      </c>
      <c r="F132" s="33">
        <f t="shared" si="11"/>
        <v>0</v>
      </c>
      <c r="G132" s="33">
        <f t="shared" si="11"/>
        <v>30840044</v>
      </c>
      <c r="H132" s="33">
        <f t="shared" si="11"/>
        <v>322000</v>
      </c>
      <c r="I132" s="33">
        <f t="shared" si="11"/>
        <v>0</v>
      </c>
      <c r="J132" s="33">
        <f t="shared" si="11"/>
        <v>0</v>
      </c>
      <c r="K132" s="33">
        <f t="shared" si="11"/>
        <v>0</v>
      </c>
      <c r="L132" s="33">
        <f t="shared" si="11"/>
        <v>0</v>
      </c>
      <c r="M132" s="33">
        <f t="shared" si="11"/>
        <v>0</v>
      </c>
      <c r="N132" s="33">
        <f t="shared" si="11"/>
        <v>4579490</v>
      </c>
      <c r="O132" s="33">
        <f t="shared" si="11"/>
        <v>35641416.23</v>
      </c>
      <c r="P132" s="33">
        <f t="shared" si="11"/>
        <v>0</v>
      </c>
      <c r="Q132" s="33">
        <f t="shared" si="11"/>
        <v>0</v>
      </c>
      <c r="R132" s="33">
        <f t="shared" si="11"/>
        <v>0</v>
      </c>
      <c r="S132" s="33">
        <f t="shared" si="11"/>
        <v>16588950</v>
      </c>
      <c r="T132" s="33">
        <f t="shared" si="11"/>
        <v>0</v>
      </c>
      <c r="U132" s="33">
        <f t="shared" si="11"/>
        <v>0</v>
      </c>
      <c r="V132" s="33">
        <f t="shared" si="11"/>
        <v>0</v>
      </c>
      <c r="W132" s="33">
        <f t="shared" si="11"/>
        <v>0</v>
      </c>
      <c r="X132" s="33">
        <f t="shared" si="11"/>
        <v>0</v>
      </c>
      <c r="Y132" s="33">
        <f t="shared" si="11"/>
        <v>0</v>
      </c>
      <c r="Z132" s="33">
        <f t="shared" si="11"/>
        <v>0</v>
      </c>
      <c r="AA132" s="33">
        <f t="shared" si="11"/>
        <v>0</v>
      </c>
      <c r="AB132" s="33">
        <f t="shared" si="11"/>
        <v>0</v>
      </c>
      <c r="AC132" s="33">
        <f t="shared" si="11"/>
        <v>0</v>
      </c>
      <c r="AD132" s="33">
        <f t="shared" si="11"/>
        <v>91954</v>
      </c>
      <c r="AE132" s="33">
        <f t="shared" si="11"/>
        <v>115595468.22999999</v>
      </c>
    </row>
    <row r="133" spans="1:31" ht="12.75">
      <c r="A133" s="4"/>
      <c r="B133" s="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>
        <f aca="true" t="shared" si="12" ref="AE133:AE139">SUM(C133:AD133)</f>
        <v>0</v>
      </c>
    </row>
    <row r="134" spans="1:31" ht="12.75">
      <c r="A134" s="5" t="s">
        <v>233</v>
      </c>
      <c r="B134" s="5" t="s">
        <v>232</v>
      </c>
      <c r="C134" s="25">
        <v>61600</v>
      </c>
      <c r="D134" s="25"/>
      <c r="E134" s="25">
        <v>8613215</v>
      </c>
      <c r="F134" s="25"/>
      <c r="G134" s="25">
        <v>13579264</v>
      </c>
      <c r="H134" s="25">
        <v>322000</v>
      </c>
      <c r="I134" s="25"/>
      <c r="J134" s="25"/>
      <c r="K134" s="25"/>
      <c r="L134" s="25"/>
      <c r="M134" s="25"/>
      <c r="N134" s="25">
        <v>4579490</v>
      </c>
      <c r="O134" s="25">
        <v>143396</v>
      </c>
      <c r="P134" s="25"/>
      <c r="Q134" s="25"/>
      <c r="R134" s="25"/>
      <c r="S134" s="25">
        <v>7842450</v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>
        <f t="shared" si="12"/>
        <v>35141415</v>
      </c>
    </row>
    <row r="135" spans="1:31" ht="12.75">
      <c r="A135" s="5" t="s">
        <v>362</v>
      </c>
      <c r="B135" s="5" t="s">
        <v>363</v>
      </c>
      <c r="C135" s="25"/>
      <c r="D135" s="25"/>
      <c r="E135" s="25">
        <f>777000+1151999+14274666</f>
        <v>16203665</v>
      </c>
      <c r="F135" s="25"/>
      <c r="G135" s="25">
        <v>17260780</v>
      </c>
      <c r="H135" s="25"/>
      <c r="I135" s="25"/>
      <c r="J135" s="25"/>
      <c r="K135" s="25"/>
      <c r="L135" s="25"/>
      <c r="M135" s="25"/>
      <c r="N135" s="25"/>
      <c r="O135" s="25">
        <v>35498020.23</v>
      </c>
      <c r="P135" s="25"/>
      <c r="Q135" s="25"/>
      <c r="R135" s="25"/>
      <c r="S135" s="25">
        <v>8746500</v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>
        <f t="shared" si="12"/>
        <v>77708965.22999999</v>
      </c>
    </row>
    <row r="136" spans="1:31" ht="21">
      <c r="A136" s="5" t="s">
        <v>364</v>
      </c>
      <c r="B136" s="5" t="s">
        <v>365</v>
      </c>
      <c r="C136" s="25"/>
      <c r="D136" s="25"/>
      <c r="E136" s="25">
        <f>25879.3+232913.7</f>
        <v>258793</v>
      </c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>
        <f t="shared" si="12"/>
        <v>258793</v>
      </c>
    </row>
    <row r="137" spans="1:31" ht="31.5" customHeight="1">
      <c r="A137" s="5" t="s">
        <v>474</v>
      </c>
      <c r="B137" s="5" t="s">
        <v>366</v>
      </c>
      <c r="C137" s="25"/>
      <c r="D137" s="25"/>
      <c r="E137" s="25">
        <f>110872.1+997848.9</f>
        <v>1108721</v>
      </c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>
        <f t="shared" si="12"/>
        <v>1108721</v>
      </c>
    </row>
    <row r="138" spans="1:31" ht="12.75">
      <c r="A138" s="5" t="s">
        <v>367</v>
      </c>
      <c r="B138" s="5" t="s">
        <v>368</v>
      </c>
      <c r="C138" s="25"/>
      <c r="D138" s="25"/>
      <c r="E138" s="25">
        <v>1285620</v>
      </c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>
        <f t="shared" si="12"/>
        <v>1285620</v>
      </c>
    </row>
    <row r="139" spans="1:31" ht="12.75">
      <c r="A139" s="5" t="s">
        <v>503</v>
      </c>
      <c r="B139" s="5" t="s">
        <v>504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>
        <v>91954</v>
      </c>
      <c r="AE139" s="25">
        <f t="shared" si="12"/>
        <v>91954</v>
      </c>
    </row>
    <row r="140" spans="1:31" ht="12.75">
      <c r="A140" s="18" t="s">
        <v>245</v>
      </c>
      <c r="B140" s="4"/>
      <c r="C140" s="33">
        <f>SUM(C142:C149)</f>
        <v>0</v>
      </c>
      <c r="D140" s="33">
        <f aca="true" t="shared" si="13" ref="D140:AE140">SUM(D142:D149)</f>
        <v>0</v>
      </c>
      <c r="E140" s="33">
        <f t="shared" si="13"/>
        <v>14828096</v>
      </c>
      <c r="F140" s="33">
        <f t="shared" si="13"/>
        <v>0</v>
      </c>
      <c r="G140" s="33">
        <f t="shared" si="13"/>
        <v>24018688</v>
      </c>
      <c r="H140" s="33">
        <f t="shared" si="13"/>
        <v>1253000</v>
      </c>
      <c r="I140" s="33">
        <f t="shared" si="13"/>
        <v>0</v>
      </c>
      <c r="J140" s="33">
        <f t="shared" si="13"/>
        <v>0</v>
      </c>
      <c r="K140" s="33">
        <f t="shared" si="13"/>
        <v>0</v>
      </c>
      <c r="L140" s="33">
        <f t="shared" si="13"/>
        <v>0</v>
      </c>
      <c r="M140" s="33">
        <f t="shared" si="13"/>
        <v>0</v>
      </c>
      <c r="N140" s="33">
        <f t="shared" si="13"/>
        <v>4911621</v>
      </c>
      <c r="O140" s="33">
        <f t="shared" si="13"/>
        <v>239363</v>
      </c>
      <c r="P140" s="33">
        <f t="shared" si="13"/>
        <v>0</v>
      </c>
      <c r="Q140" s="33">
        <f t="shared" si="13"/>
        <v>0</v>
      </c>
      <c r="R140" s="33">
        <f t="shared" si="13"/>
        <v>70977</v>
      </c>
      <c r="S140" s="33">
        <f t="shared" si="13"/>
        <v>11728000</v>
      </c>
      <c r="T140" s="33">
        <f t="shared" si="13"/>
        <v>0</v>
      </c>
      <c r="U140" s="33">
        <f t="shared" si="13"/>
        <v>0</v>
      </c>
      <c r="V140" s="33">
        <f t="shared" si="13"/>
        <v>0</v>
      </c>
      <c r="W140" s="33">
        <f t="shared" si="13"/>
        <v>0</v>
      </c>
      <c r="X140" s="33">
        <f t="shared" si="13"/>
        <v>0</v>
      </c>
      <c r="Y140" s="33">
        <f t="shared" si="13"/>
        <v>0</v>
      </c>
      <c r="Z140" s="33">
        <f t="shared" si="13"/>
        <v>0</v>
      </c>
      <c r="AA140" s="33">
        <f t="shared" si="13"/>
        <v>0</v>
      </c>
      <c r="AB140" s="33">
        <f t="shared" si="13"/>
        <v>0</v>
      </c>
      <c r="AC140" s="33">
        <f t="shared" si="13"/>
        <v>0</v>
      </c>
      <c r="AD140" s="33">
        <f t="shared" si="13"/>
        <v>0</v>
      </c>
      <c r="AE140" s="33">
        <f t="shared" si="13"/>
        <v>57049745</v>
      </c>
    </row>
    <row r="141" spans="1:31" ht="12.75">
      <c r="A141" s="4"/>
      <c r="B141" s="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>
        <f aca="true" t="shared" si="14" ref="AE141:AE149">SUM(C141:AD141)</f>
        <v>0</v>
      </c>
    </row>
    <row r="142" spans="1:31" ht="21">
      <c r="A142" s="5" t="s">
        <v>369</v>
      </c>
      <c r="B142" s="5" t="s">
        <v>370</v>
      </c>
      <c r="C142" s="25"/>
      <c r="D142" s="25"/>
      <c r="E142" s="25">
        <f>26721+25622</f>
        <v>52343</v>
      </c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>
        <f t="shared" si="14"/>
        <v>52343</v>
      </c>
    </row>
    <row r="143" spans="1:31" ht="12.75">
      <c r="A143" s="5" t="s">
        <v>236</v>
      </c>
      <c r="B143" s="5" t="s">
        <v>235</v>
      </c>
      <c r="C143" s="25"/>
      <c r="D143" s="25"/>
      <c r="E143" s="25">
        <v>3318054</v>
      </c>
      <c r="F143" s="25"/>
      <c r="G143" s="25">
        <f>445075+4005675</f>
        <v>4450750</v>
      </c>
      <c r="H143" s="25"/>
      <c r="I143" s="25"/>
      <c r="J143" s="25"/>
      <c r="K143" s="25"/>
      <c r="L143" s="25"/>
      <c r="M143" s="25"/>
      <c r="N143" s="25">
        <f>1330719+2949152</f>
        <v>4279871</v>
      </c>
      <c r="O143" s="25"/>
      <c r="P143" s="25"/>
      <c r="Q143" s="25"/>
      <c r="R143" s="25"/>
      <c r="S143" s="25">
        <v>4092000</v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>
        <f t="shared" si="14"/>
        <v>16140675</v>
      </c>
    </row>
    <row r="144" spans="1:31" ht="12.75">
      <c r="A144" s="5" t="s">
        <v>238</v>
      </c>
      <c r="B144" s="5" t="s">
        <v>237</v>
      </c>
      <c r="C144" s="25"/>
      <c r="D144" s="25"/>
      <c r="E144" s="25">
        <v>67714</v>
      </c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>
        <f t="shared" si="14"/>
        <v>67714</v>
      </c>
    </row>
    <row r="145" spans="1:31" ht="21">
      <c r="A145" s="5" t="s">
        <v>240</v>
      </c>
      <c r="B145" s="5" t="s">
        <v>239</v>
      </c>
      <c r="C145" s="25"/>
      <c r="D145" s="25"/>
      <c r="E145" s="25">
        <f>576414+139136</f>
        <v>715550</v>
      </c>
      <c r="F145" s="25"/>
      <c r="G145" s="25"/>
      <c r="H145" s="25">
        <v>959000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>
        <f t="shared" si="14"/>
        <v>1674550</v>
      </c>
    </row>
    <row r="146" spans="1:31" ht="21">
      <c r="A146" s="5" t="s">
        <v>371</v>
      </c>
      <c r="B146" s="5" t="s">
        <v>372</v>
      </c>
      <c r="C146" s="25"/>
      <c r="D146" s="25"/>
      <c r="E146" s="25"/>
      <c r="F146" s="25"/>
      <c r="G146" s="25"/>
      <c r="H146" s="25">
        <v>294000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>
        <f t="shared" si="14"/>
        <v>294000</v>
      </c>
    </row>
    <row r="147" spans="1:31" ht="12.75">
      <c r="A147" s="5" t="s">
        <v>373</v>
      </c>
      <c r="B147" s="5" t="s">
        <v>374</v>
      </c>
      <c r="C147" s="25"/>
      <c r="D147" s="25"/>
      <c r="E147" s="25">
        <v>3154330</v>
      </c>
      <c r="F147" s="25"/>
      <c r="G147" s="25">
        <v>2938553</v>
      </c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>
        <f t="shared" si="14"/>
        <v>6092883</v>
      </c>
    </row>
    <row r="148" spans="1:31" ht="12.75">
      <c r="A148" s="5" t="s">
        <v>242</v>
      </c>
      <c r="B148" s="5" t="s">
        <v>241</v>
      </c>
      <c r="C148" s="25"/>
      <c r="D148" s="25"/>
      <c r="E148" s="25">
        <v>2269230</v>
      </c>
      <c r="F148" s="25"/>
      <c r="G148" s="25">
        <f>1030086.4+9270777.6</f>
        <v>10300864</v>
      </c>
      <c r="H148" s="25"/>
      <c r="I148" s="25"/>
      <c r="J148" s="25"/>
      <c r="K148" s="25"/>
      <c r="L148" s="25"/>
      <c r="M148" s="25"/>
      <c r="N148" s="25">
        <v>631750</v>
      </c>
      <c r="O148" s="25"/>
      <c r="P148" s="25"/>
      <c r="Q148" s="25"/>
      <c r="R148" s="25"/>
      <c r="S148" s="25">
        <f>490000+4410000</f>
        <v>4900000</v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>
        <f t="shared" si="14"/>
        <v>18101844</v>
      </c>
    </row>
    <row r="149" spans="1:31" ht="12.75">
      <c r="A149" s="5" t="s">
        <v>244</v>
      </c>
      <c r="B149" s="5" t="s">
        <v>243</v>
      </c>
      <c r="C149" s="25"/>
      <c r="D149" s="25"/>
      <c r="E149" s="25">
        <f>128113+5122762</f>
        <v>5250875</v>
      </c>
      <c r="F149" s="25"/>
      <c r="G149" s="25">
        <v>6328521</v>
      </c>
      <c r="H149" s="25"/>
      <c r="I149" s="25"/>
      <c r="J149" s="25"/>
      <c r="K149" s="25"/>
      <c r="L149" s="25"/>
      <c r="M149" s="25"/>
      <c r="N149" s="25"/>
      <c r="O149" s="25">
        <v>239363</v>
      </c>
      <c r="P149" s="25"/>
      <c r="Q149" s="25"/>
      <c r="R149" s="25">
        <v>70977</v>
      </c>
      <c r="S149" s="25">
        <v>2736000</v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>
        <f t="shared" si="14"/>
        <v>14625736</v>
      </c>
    </row>
    <row r="150" spans="1:31" ht="12.75">
      <c r="A150" s="18" t="s">
        <v>256</v>
      </c>
      <c r="B150" s="4"/>
      <c r="C150" s="33">
        <f>SUM(C152:C167)</f>
        <v>0</v>
      </c>
      <c r="D150" s="33">
        <f aca="true" t="shared" si="15" ref="D150:AE150">SUM(D152:D167)</f>
        <v>0</v>
      </c>
      <c r="E150" s="33">
        <f t="shared" si="15"/>
        <v>6147295</v>
      </c>
      <c r="F150" s="33">
        <f t="shared" si="15"/>
        <v>916631</v>
      </c>
      <c r="G150" s="33">
        <f t="shared" si="15"/>
        <v>3853388</v>
      </c>
      <c r="H150" s="33">
        <f t="shared" si="15"/>
        <v>336000</v>
      </c>
      <c r="I150" s="33">
        <f t="shared" si="15"/>
        <v>0</v>
      </c>
      <c r="J150" s="33">
        <f t="shared" si="15"/>
        <v>0</v>
      </c>
      <c r="K150" s="33">
        <f t="shared" si="15"/>
        <v>0</v>
      </c>
      <c r="L150" s="33">
        <f t="shared" si="15"/>
        <v>10800</v>
      </c>
      <c r="M150" s="33">
        <f t="shared" si="15"/>
        <v>0</v>
      </c>
      <c r="N150" s="33">
        <f t="shared" si="15"/>
        <v>0</v>
      </c>
      <c r="O150" s="33">
        <f t="shared" si="15"/>
        <v>164339444.9</v>
      </c>
      <c r="P150" s="33">
        <f t="shared" si="15"/>
        <v>0</v>
      </c>
      <c r="Q150" s="33">
        <f t="shared" si="15"/>
        <v>10140752</v>
      </c>
      <c r="R150" s="33">
        <f t="shared" si="15"/>
        <v>96154855</v>
      </c>
      <c r="S150" s="33">
        <f t="shared" si="15"/>
        <v>2940000</v>
      </c>
      <c r="T150" s="33">
        <f t="shared" si="15"/>
        <v>0</v>
      </c>
      <c r="U150" s="33">
        <f t="shared" si="15"/>
        <v>0</v>
      </c>
      <c r="V150" s="33">
        <f t="shared" si="15"/>
        <v>0</v>
      </c>
      <c r="W150" s="33">
        <f t="shared" si="15"/>
        <v>0</v>
      </c>
      <c r="X150" s="33">
        <f t="shared" si="15"/>
        <v>0</v>
      </c>
      <c r="Y150" s="33">
        <f t="shared" si="15"/>
        <v>0</v>
      </c>
      <c r="Z150" s="33">
        <f t="shared" si="15"/>
        <v>0</v>
      </c>
      <c r="AA150" s="33">
        <f t="shared" si="15"/>
        <v>0</v>
      </c>
      <c r="AB150" s="33">
        <f t="shared" si="15"/>
        <v>0</v>
      </c>
      <c r="AC150" s="33">
        <f t="shared" si="15"/>
        <v>0</v>
      </c>
      <c r="AD150" s="33">
        <f t="shared" si="15"/>
        <v>0</v>
      </c>
      <c r="AE150" s="33">
        <f t="shared" si="15"/>
        <v>284839165.90000004</v>
      </c>
    </row>
    <row r="151" spans="1:31" ht="12.75">
      <c r="A151" s="4"/>
      <c r="B151" s="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>
        <f aca="true" t="shared" si="16" ref="AE151:AE167">SUM(C151:AD151)</f>
        <v>0</v>
      </c>
    </row>
    <row r="152" spans="1:31" ht="12.75">
      <c r="A152" s="5" t="s">
        <v>247</v>
      </c>
      <c r="B152" s="5" t="s">
        <v>246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>
        <v>103888039.79</v>
      </c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>
        <f t="shared" si="16"/>
        <v>103888039.79</v>
      </c>
    </row>
    <row r="153" spans="1:31" ht="21">
      <c r="A153" s="5" t="s">
        <v>249</v>
      </c>
      <c r="B153" s="5" t="s">
        <v>248</v>
      </c>
      <c r="C153" s="25"/>
      <c r="D153" s="25"/>
      <c r="E153" s="25"/>
      <c r="F153" s="25">
        <v>916631</v>
      </c>
      <c r="G153" s="25"/>
      <c r="H153" s="25"/>
      <c r="I153" s="25"/>
      <c r="J153" s="25"/>
      <c r="K153" s="25"/>
      <c r="L153" s="25"/>
      <c r="M153" s="25"/>
      <c r="N153" s="25"/>
      <c r="O153" s="25">
        <v>60451405.11</v>
      </c>
      <c r="P153" s="25"/>
      <c r="Q153" s="25">
        <f>354926.32+3194336.88+598765.25+5388887.23+603836.32</f>
        <v>10140752</v>
      </c>
      <c r="R153" s="25">
        <v>96154855</v>
      </c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>
        <f t="shared" si="16"/>
        <v>167663643.11</v>
      </c>
    </row>
    <row r="154" spans="1:31" ht="12.75">
      <c r="A154" s="5" t="s">
        <v>477</v>
      </c>
      <c r="B154" s="5" t="s">
        <v>478</v>
      </c>
      <c r="C154" s="25"/>
      <c r="D154" s="25"/>
      <c r="E154" s="25">
        <v>28214</v>
      </c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>
        <f t="shared" si="16"/>
        <v>28214</v>
      </c>
    </row>
    <row r="155" spans="1:31" ht="12.75">
      <c r="A155" s="5" t="s">
        <v>375</v>
      </c>
      <c r="B155" s="5" t="s">
        <v>376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>
        <v>10800</v>
      </c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>
        <f t="shared" si="16"/>
        <v>10800</v>
      </c>
    </row>
    <row r="156" spans="1:31" ht="12.75">
      <c r="A156" s="5" t="s">
        <v>251</v>
      </c>
      <c r="B156" s="5" t="s">
        <v>250</v>
      </c>
      <c r="C156" s="25"/>
      <c r="D156" s="25"/>
      <c r="E156" s="25">
        <f>59438.6+534947.4+276725</f>
        <v>871111</v>
      </c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>
        <f t="shared" si="16"/>
        <v>871111</v>
      </c>
    </row>
    <row r="157" spans="1:31" ht="12.75">
      <c r="A157" s="5" t="s">
        <v>377</v>
      </c>
      <c r="B157" s="5" t="s">
        <v>378</v>
      </c>
      <c r="C157" s="25"/>
      <c r="D157" s="25"/>
      <c r="E157" s="25">
        <f>18987.3+170885.7+61494+15517</f>
        <v>266884</v>
      </c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>
        <f t="shared" si="16"/>
        <v>266884</v>
      </c>
    </row>
    <row r="158" spans="1:31" ht="21">
      <c r="A158" s="5" t="s">
        <v>379</v>
      </c>
      <c r="B158" s="5" t="s">
        <v>380</v>
      </c>
      <c r="C158" s="25"/>
      <c r="D158" s="25"/>
      <c r="E158" s="25">
        <v>41276</v>
      </c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>
        <f t="shared" si="16"/>
        <v>41276</v>
      </c>
    </row>
    <row r="159" spans="1:31" ht="21">
      <c r="A159" s="5" t="s">
        <v>381</v>
      </c>
      <c r="B159" s="5" t="s">
        <v>382</v>
      </c>
      <c r="C159" s="25"/>
      <c r="D159" s="25"/>
      <c r="E159" s="25">
        <v>423210</v>
      </c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>
        <f t="shared" si="16"/>
        <v>423210</v>
      </c>
    </row>
    <row r="160" spans="1:31" ht="21">
      <c r="A160" s="5" t="s">
        <v>383</v>
      </c>
      <c r="B160" s="5" t="s">
        <v>384</v>
      </c>
      <c r="C160" s="25"/>
      <c r="D160" s="25"/>
      <c r="E160" s="25">
        <f>16510.7+148596.3+256227</f>
        <v>421334</v>
      </c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>
        <f t="shared" si="16"/>
        <v>421334</v>
      </c>
    </row>
    <row r="161" spans="1:31" ht="21">
      <c r="A161" s="5" t="s">
        <v>385</v>
      </c>
      <c r="B161" s="5" t="s">
        <v>386</v>
      </c>
      <c r="C161" s="25"/>
      <c r="D161" s="25"/>
      <c r="E161" s="25">
        <v>28962</v>
      </c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>
        <f t="shared" si="16"/>
        <v>28962</v>
      </c>
    </row>
    <row r="162" spans="1:31" ht="21">
      <c r="A162" s="5" t="s">
        <v>253</v>
      </c>
      <c r="B162" s="5" t="s">
        <v>252</v>
      </c>
      <c r="C162" s="25"/>
      <c r="D162" s="25"/>
      <c r="E162" s="25">
        <f>15518+153736</f>
        <v>169254</v>
      </c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>
        <f t="shared" si="16"/>
        <v>169254</v>
      </c>
    </row>
    <row r="163" spans="1:31" ht="35.25" customHeight="1">
      <c r="A163" s="5" t="s">
        <v>485</v>
      </c>
      <c r="B163" s="5" t="s">
        <v>486</v>
      </c>
      <c r="C163" s="25"/>
      <c r="D163" s="25"/>
      <c r="E163" s="25">
        <v>63199</v>
      </c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>
        <f t="shared" si="16"/>
        <v>63199</v>
      </c>
    </row>
    <row r="164" spans="1:31" ht="12.75" customHeight="1">
      <c r="A164" s="5" t="s">
        <v>495</v>
      </c>
      <c r="B164" s="5" t="s">
        <v>496</v>
      </c>
      <c r="C164" s="25"/>
      <c r="D164" s="25"/>
      <c r="E164" s="25">
        <v>116151</v>
      </c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>
        <f t="shared" si="16"/>
        <v>116151</v>
      </c>
    </row>
    <row r="165" spans="1:31" ht="21">
      <c r="A165" s="5" t="s">
        <v>388</v>
      </c>
      <c r="B165" s="5" t="s">
        <v>389</v>
      </c>
      <c r="C165" s="25"/>
      <c r="D165" s="25"/>
      <c r="E165" s="25">
        <v>1868490</v>
      </c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>
        <f t="shared" si="16"/>
        <v>1868490</v>
      </c>
    </row>
    <row r="166" spans="1:31" ht="12.75">
      <c r="A166" s="5" t="s">
        <v>255</v>
      </c>
      <c r="B166" s="5" t="s">
        <v>254</v>
      </c>
      <c r="C166" s="25"/>
      <c r="D166" s="25"/>
      <c r="E166" s="25">
        <v>1778385</v>
      </c>
      <c r="F166" s="25"/>
      <c r="G166" s="25">
        <f>385338.8+3468049.2</f>
        <v>3853388</v>
      </c>
      <c r="H166" s="25">
        <v>336000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>
        <v>2940000</v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>
        <f t="shared" si="16"/>
        <v>8907773</v>
      </c>
    </row>
    <row r="167" spans="1:31" ht="24.75" customHeight="1">
      <c r="A167" s="5" t="s">
        <v>513</v>
      </c>
      <c r="B167" s="5" t="s">
        <v>387</v>
      </c>
      <c r="C167" s="25"/>
      <c r="D167" s="25"/>
      <c r="E167" s="25">
        <f>1651+14859+40996+13319</f>
        <v>70825</v>
      </c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>
        <f t="shared" si="16"/>
        <v>70825</v>
      </c>
    </row>
    <row r="168" spans="1:31" ht="12.75">
      <c r="A168" s="18" t="s">
        <v>63</v>
      </c>
      <c r="B168" s="4"/>
      <c r="C168" s="33">
        <f>SUM(C170:C186)</f>
        <v>0</v>
      </c>
      <c r="D168" s="33">
        <f aca="true" t="shared" si="17" ref="D168:AE168">SUM(D170:D186)</f>
        <v>0</v>
      </c>
      <c r="E168" s="33">
        <f t="shared" si="17"/>
        <v>12994990</v>
      </c>
      <c r="F168" s="33">
        <f t="shared" si="17"/>
        <v>0</v>
      </c>
      <c r="G168" s="33">
        <f t="shared" si="17"/>
        <v>6097321</v>
      </c>
      <c r="H168" s="33">
        <f t="shared" si="17"/>
        <v>70000</v>
      </c>
      <c r="I168" s="33">
        <f t="shared" si="17"/>
        <v>0</v>
      </c>
      <c r="J168" s="33">
        <f t="shared" si="17"/>
        <v>0</v>
      </c>
      <c r="K168" s="33">
        <f t="shared" si="17"/>
        <v>0</v>
      </c>
      <c r="L168" s="33">
        <f t="shared" si="17"/>
        <v>0</v>
      </c>
      <c r="M168" s="33">
        <f t="shared" si="17"/>
        <v>0</v>
      </c>
      <c r="N168" s="33">
        <f t="shared" si="17"/>
        <v>4360000</v>
      </c>
      <c r="O168" s="33">
        <f t="shared" si="17"/>
        <v>815260.37</v>
      </c>
      <c r="P168" s="33">
        <f t="shared" si="17"/>
        <v>0</v>
      </c>
      <c r="Q168" s="33">
        <f t="shared" si="17"/>
        <v>837199</v>
      </c>
      <c r="R168" s="33">
        <f t="shared" si="17"/>
        <v>0</v>
      </c>
      <c r="S168" s="33">
        <f t="shared" si="17"/>
        <v>3285000</v>
      </c>
      <c r="T168" s="33">
        <f t="shared" si="17"/>
        <v>0</v>
      </c>
      <c r="U168" s="33">
        <f t="shared" si="17"/>
        <v>0</v>
      </c>
      <c r="V168" s="33">
        <f t="shared" si="17"/>
        <v>0</v>
      </c>
      <c r="W168" s="33">
        <f t="shared" si="17"/>
        <v>0</v>
      </c>
      <c r="X168" s="33">
        <f t="shared" si="17"/>
        <v>0</v>
      </c>
      <c r="Y168" s="33">
        <f t="shared" si="17"/>
        <v>0</v>
      </c>
      <c r="Z168" s="33">
        <f t="shared" si="17"/>
        <v>0</v>
      </c>
      <c r="AA168" s="33">
        <f t="shared" si="17"/>
        <v>0</v>
      </c>
      <c r="AB168" s="33">
        <f t="shared" si="17"/>
        <v>0</v>
      </c>
      <c r="AC168" s="33">
        <f t="shared" si="17"/>
        <v>0</v>
      </c>
      <c r="AD168" s="33">
        <f t="shared" si="17"/>
        <v>91954</v>
      </c>
      <c r="AE168" s="33">
        <f t="shared" si="17"/>
        <v>28551724.37</v>
      </c>
    </row>
    <row r="169" spans="1:31" ht="12.75">
      <c r="A169" s="4"/>
      <c r="B169" s="4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>
        <f aca="true" t="shared" si="18" ref="AE169:AE186">SUM(C169:AD169)</f>
        <v>0</v>
      </c>
    </row>
    <row r="170" spans="1:31" ht="31.5">
      <c r="A170" s="5" t="s">
        <v>390</v>
      </c>
      <c r="B170" s="5" t="s">
        <v>391</v>
      </c>
      <c r="C170" s="25"/>
      <c r="D170" s="25"/>
      <c r="E170" s="25">
        <f>1651+14859+245978</f>
        <v>262488</v>
      </c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>
        <f t="shared" si="18"/>
        <v>262488</v>
      </c>
    </row>
    <row r="171" spans="1:31" ht="21">
      <c r="A171" s="5" t="s">
        <v>258</v>
      </c>
      <c r="B171" s="5" t="s">
        <v>257</v>
      </c>
      <c r="C171" s="25"/>
      <c r="D171" s="25"/>
      <c r="E171" s="25">
        <v>102491</v>
      </c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>
        <f t="shared" si="18"/>
        <v>102491</v>
      </c>
    </row>
    <row r="172" spans="1:31" ht="12.75">
      <c r="A172" s="5" t="s">
        <v>260</v>
      </c>
      <c r="B172" s="5" t="s">
        <v>259</v>
      </c>
      <c r="C172" s="25"/>
      <c r="D172" s="25"/>
      <c r="E172" s="25">
        <f>27132+15373</f>
        <v>42505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>
        <f t="shared" si="18"/>
        <v>42505</v>
      </c>
    </row>
    <row r="173" spans="1:31" ht="12.75">
      <c r="A173" s="5" t="s">
        <v>392</v>
      </c>
      <c r="B173" s="5" t="s">
        <v>393</v>
      </c>
      <c r="C173" s="25"/>
      <c r="D173" s="25"/>
      <c r="E173" s="25">
        <v>2421109</v>
      </c>
      <c r="F173" s="25"/>
      <c r="G173" s="25">
        <v>1798200</v>
      </c>
      <c r="H173" s="25"/>
      <c r="I173" s="25"/>
      <c r="J173" s="25"/>
      <c r="K173" s="25"/>
      <c r="L173" s="25"/>
      <c r="M173" s="25"/>
      <c r="N173" s="25">
        <v>3040000</v>
      </c>
      <c r="O173" s="25">
        <v>581960.37</v>
      </c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>
        <f t="shared" si="18"/>
        <v>7841269.37</v>
      </c>
    </row>
    <row r="174" spans="1:31" ht="12.75">
      <c r="A174" s="5" t="s">
        <v>394</v>
      </c>
      <c r="B174" s="5" t="s">
        <v>395</v>
      </c>
      <c r="C174" s="25"/>
      <c r="D174" s="25"/>
      <c r="E174" s="25">
        <v>618552</v>
      </c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>
        <f t="shared" si="18"/>
        <v>618552</v>
      </c>
    </row>
    <row r="175" spans="1:31" ht="12.75">
      <c r="A175" s="5" t="s">
        <v>262</v>
      </c>
      <c r="B175" s="5" t="s">
        <v>261</v>
      </c>
      <c r="C175" s="25"/>
      <c r="D175" s="25"/>
      <c r="E175" s="25">
        <v>220355</v>
      </c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>
        <f t="shared" si="18"/>
        <v>220355</v>
      </c>
    </row>
    <row r="176" spans="1:31" ht="12.75">
      <c r="A176" s="5" t="s">
        <v>264</v>
      </c>
      <c r="B176" s="5" t="s">
        <v>263</v>
      </c>
      <c r="C176" s="25"/>
      <c r="D176" s="25"/>
      <c r="E176" s="25">
        <f>184992+128113</f>
        <v>313105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>
        <f t="shared" si="18"/>
        <v>313105</v>
      </c>
    </row>
    <row r="177" spans="1:31" ht="21">
      <c r="A177" s="5" t="s">
        <v>266</v>
      </c>
      <c r="B177" s="5" t="s">
        <v>265</v>
      </c>
      <c r="C177" s="25"/>
      <c r="D177" s="25"/>
      <c r="E177" s="25">
        <v>211901</v>
      </c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>
        <f t="shared" si="18"/>
        <v>211901</v>
      </c>
    </row>
    <row r="178" spans="1:31" ht="12.75">
      <c r="A178" s="5" t="s">
        <v>268</v>
      </c>
      <c r="B178" s="5" t="s">
        <v>267</v>
      </c>
      <c r="C178" s="25"/>
      <c r="D178" s="25"/>
      <c r="E178" s="25">
        <v>56870</v>
      </c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>
        <f t="shared" si="18"/>
        <v>56870</v>
      </c>
    </row>
    <row r="179" spans="1:31" ht="12.75">
      <c r="A179" s="5" t="s">
        <v>270</v>
      </c>
      <c r="B179" s="5" t="s">
        <v>269</v>
      </c>
      <c r="C179" s="25"/>
      <c r="D179" s="25"/>
      <c r="E179" s="25">
        <v>190865</v>
      </c>
      <c r="F179" s="25"/>
      <c r="G179" s="25"/>
      <c r="H179" s="25">
        <v>70000</v>
      </c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>
        <f t="shared" si="18"/>
        <v>260865</v>
      </c>
    </row>
    <row r="180" spans="1:31" ht="12.75">
      <c r="A180" s="5" t="s">
        <v>55</v>
      </c>
      <c r="B180" s="5" t="s">
        <v>54</v>
      </c>
      <c r="C180" s="25"/>
      <c r="D180" s="25"/>
      <c r="E180" s="25">
        <f>184992+104540</f>
        <v>289532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>
        <f t="shared" si="18"/>
        <v>289532</v>
      </c>
    </row>
    <row r="181" spans="1:31" ht="21">
      <c r="A181" s="5" t="s">
        <v>396</v>
      </c>
      <c r="B181" s="5" t="s">
        <v>397</v>
      </c>
      <c r="C181" s="25"/>
      <c r="D181" s="25"/>
      <c r="E181" s="25">
        <v>271320</v>
      </c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>
        <f t="shared" si="18"/>
        <v>271320</v>
      </c>
    </row>
    <row r="182" spans="1:31" ht="12.75">
      <c r="A182" s="5" t="s">
        <v>57</v>
      </c>
      <c r="B182" s="5" t="s">
        <v>56</v>
      </c>
      <c r="C182" s="25"/>
      <c r="D182" s="25"/>
      <c r="E182" s="25">
        <v>6951649</v>
      </c>
      <c r="F182" s="25"/>
      <c r="G182" s="25">
        <v>4299121</v>
      </c>
      <c r="H182" s="25"/>
      <c r="I182" s="25"/>
      <c r="J182" s="25"/>
      <c r="K182" s="25"/>
      <c r="L182" s="25"/>
      <c r="M182" s="25"/>
      <c r="N182" s="25">
        <v>1320000</v>
      </c>
      <c r="O182" s="25">
        <v>233300</v>
      </c>
      <c r="P182" s="25"/>
      <c r="Q182" s="25"/>
      <c r="R182" s="25"/>
      <c r="S182" s="25">
        <v>3285000</v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>
        <f t="shared" si="18"/>
        <v>16089070</v>
      </c>
    </row>
    <row r="183" spans="1:31" ht="12.75">
      <c r="A183" s="5" t="s">
        <v>59</v>
      </c>
      <c r="B183" s="5" t="s">
        <v>58</v>
      </c>
      <c r="C183" s="25"/>
      <c r="D183" s="25"/>
      <c r="E183" s="25">
        <v>705351</v>
      </c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>
        <f>83719.9+753479.1</f>
        <v>837199</v>
      </c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>
        <f t="shared" si="18"/>
        <v>1542550</v>
      </c>
    </row>
    <row r="184" spans="1:31" ht="12.75">
      <c r="A184" s="5" t="s">
        <v>61</v>
      </c>
      <c r="B184" s="5" t="s">
        <v>60</v>
      </c>
      <c r="C184" s="25"/>
      <c r="D184" s="25"/>
      <c r="E184" s="25">
        <v>208784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>
        <f t="shared" si="18"/>
        <v>208784</v>
      </c>
    </row>
    <row r="185" spans="1:31" ht="12.75">
      <c r="A185" s="5" t="s">
        <v>514</v>
      </c>
      <c r="B185" s="5" t="s">
        <v>515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>
        <v>91954</v>
      </c>
      <c r="AE185" s="25">
        <f t="shared" si="18"/>
        <v>91954</v>
      </c>
    </row>
    <row r="186" spans="1:31" ht="12.75">
      <c r="A186" s="5" t="s">
        <v>398</v>
      </c>
      <c r="B186" s="5" t="s">
        <v>62</v>
      </c>
      <c r="C186" s="25"/>
      <c r="D186" s="25"/>
      <c r="E186" s="25">
        <v>128113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>
        <f t="shared" si="18"/>
        <v>128113</v>
      </c>
    </row>
    <row r="187" spans="1:31" ht="12.75">
      <c r="A187" s="18" t="s">
        <v>80</v>
      </c>
      <c r="B187" s="4"/>
      <c r="C187" s="33">
        <f>SUM(C189:C198)</f>
        <v>431200</v>
      </c>
      <c r="D187" s="33">
        <f aca="true" t="shared" si="19" ref="D187:AE187">SUM(D189:D198)</f>
        <v>0</v>
      </c>
      <c r="E187" s="33">
        <f t="shared" si="19"/>
        <v>30799838</v>
      </c>
      <c r="F187" s="33">
        <f t="shared" si="19"/>
        <v>0</v>
      </c>
      <c r="G187" s="33">
        <f t="shared" si="19"/>
        <v>27557326</v>
      </c>
      <c r="H187" s="33">
        <f t="shared" si="19"/>
        <v>819000</v>
      </c>
      <c r="I187" s="33">
        <f t="shared" si="19"/>
        <v>0</v>
      </c>
      <c r="J187" s="33">
        <f t="shared" si="19"/>
        <v>0</v>
      </c>
      <c r="K187" s="33">
        <f t="shared" si="19"/>
        <v>863063</v>
      </c>
      <c r="L187" s="33">
        <f t="shared" si="19"/>
        <v>0</v>
      </c>
      <c r="M187" s="33">
        <f t="shared" si="19"/>
        <v>0</v>
      </c>
      <c r="N187" s="33">
        <f t="shared" si="19"/>
        <v>12411302</v>
      </c>
      <c r="O187" s="33">
        <f t="shared" si="19"/>
        <v>5029597.41</v>
      </c>
      <c r="P187" s="33">
        <f t="shared" si="19"/>
        <v>0</v>
      </c>
      <c r="Q187" s="33">
        <f t="shared" si="19"/>
        <v>88772.66</v>
      </c>
      <c r="R187" s="33">
        <f t="shared" si="19"/>
        <v>1708587.4</v>
      </c>
      <c r="S187" s="33">
        <f t="shared" si="19"/>
        <v>14793115</v>
      </c>
      <c r="T187" s="33">
        <f t="shared" si="19"/>
        <v>0</v>
      </c>
      <c r="U187" s="33">
        <f t="shared" si="19"/>
        <v>0</v>
      </c>
      <c r="V187" s="33">
        <f t="shared" si="19"/>
        <v>0</v>
      </c>
      <c r="W187" s="33">
        <f t="shared" si="19"/>
        <v>1350000</v>
      </c>
      <c r="X187" s="33">
        <f t="shared" si="19"/>
        <v>0</v>
      </c>
      <c r="Y187" s="33">
        <f t="shared" si="19"/>
        <v>0</v>
      </c>
      <c r="Z187" s="33">
        <f t="shared" si="19"/>
        <v>0</v>
      </c>
      <c r="AA187" s="33">
        <f t="shared" si="19"/>
        <v>0</v>
      </c>
      <c r="AB187" s="33">
        <f t="shared" si="19"/>
        <v>0</v>
      </c>
      <c r="AC187" s="33">
        <f t="shared" si="19"/>
        <v>0</v>
      </c>
      <c r="AD187" s="33">
        <f t="shared" si="19"/>
        <v>91954</v>
      </c>
      <c r="AE187" s="33">
        <f t="shared" si="19"/>
        <v>95943755.46999998</v>
      </c>
    </row>
    <row r="188" spans="1:31" ht="12.75">
      <c r="A188" s="4"/>
      <c r="B188" s="4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>
        <f aca="true" t="shared" si="20" ref="AE188:AE198">SUM(C188:AD188)</f>
        <v>0</v>
      </c>
    </row>
    <row r="189" spans="1:31" ht="12.75">
      <c r="A189" s="5" t="s">
        <v>65</v>
      </c>
      <c r="B189" s="5" t="s">
        <v>64</v>
      </c>
      <c r="C189" s="25"/>
      <c r="D189" s="25"/>
      <c r="E189" s="25">
        <v>4307445</v>
      </c>
      <c r="F189" s="25"/>
      <c r="G189" s="25">
        <v>3775418</v>
      </c>
      <c r="H189" s="25">
        <v>140000</v>
      </c>
      <c r="I189" s="25"/>
      <c r="J189" s="25"/>
      <c r="K189" s="25"/>
      <c r="L189" s="25"/>
      <c r="M189" s="25"/>
      <c r="N189" s="25">
        <v>3600000</v>
      </c>
      <c r="O189" s="25">
        <f>1371+13013</f>
        <v>14384</v>
      </c>
      <c r="P189" s="25"/>
      <c r="Q189" s="25">
        <f>8877.27+79895.39</f>
        <v>88772.66</v>
      </c>
      <c r="R189" s="25"/>
      <c r="S189" s="25">
        <v>2028600</v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>
        <f t="shared" si="20"/>
        <v>13954619.66</v>
      </c>
    </row>
    <row r="190" spans="1:31" ht="12.75">
      <c r="A190" s="5" t="s">
        <v>67</v>
      </c>
      <c r="B190" s="5" t="s">
        <v>66</v>
      </c>
      <c r="C190" s="25"/>
      <c r="D190" s="25"/>
      <c r="E190" s="25">
        <v>3128558</v>
      </c>
      <c r="F190" s="25"/>
      <c r="G190" s="25">
        <v>4363652</v>
      </c>
      <c r="H190" s="25"/>
      <c r="I190" s="25"/>
      <c r="J190" s="25"/>
      <c r="K190" s="25"/>
      <c r="L190" s="25"/>
      <c r="M190" s="25"/>
      <c r="N190" s="25">
        <v>2074108</v>
      </c>
      <c r="O190" s="25">
        <v>15863</v>
      </c>
      <c r="P190" s="25"/>
      <c r="Q190" s="25"/>
      <c r="R190" s="25"/>
      <c r="S190" s="25">
        <v>2748900</v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>
        <f t="shared" si="20"/>
        <v>12331081</v>
      </c>
    </row>
    <row r="191" spans="1:31" ht="12.75">
      <c r="A191" s="5" t="s">
        <v>69</v>
      </c>
      <c r="B191" s="5" t="s">
        <v>68</v>
      </c>
      <c r="C191" s="25"/>
      <c r="D191" s="25"/>
      <c r="E191" s="25">
        <v>4329824</v>
      </c>
      <c r="F191" s="25"/>
      <c r="G191" s="25">
        <v>4293171</v>
      </c>
      <c r="H191" s="25"/>
      <c r="I191" s="25"/>
      <c r="J191" s="25"/>
      <c r="K191" s="25"/>
      <c r="L191" s="25"/>
      <c r="M191" s="25"/>
      <c r="N191" s="25">
        <v>372245</v>
      </c>
      <c r="O191" s="25"/>
      <c r="P191" s="25"/>
      <c r="Q191" s="25"/>
      <c r="R191" s="25"/>
      <c r="S191" s="25">
        <v>1904400</v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>
        <f t="shared" si="20"/>
        <v>10899640</v>
      </c>
    </row>
    <row r="192" spans="1:31" ht="12.75">
      <c r="A192" s="5" t="s">
        <v>71</v>
      </c>
      <c r="B192" s="5" t="s">
        <v>70</v>
      </c>
      <c r="C192" s="25">
        <v>431200</v>
      </c>
      <c r="D192" s="25"/>
      <c r="E192" s="25">
        <v>7126904</v>
      </c>
      <c r="F192" s="25"/>
      <c r="G192" s="25">
        <v>7071892</v>
      </c>
      <c r="H192" s="25">
        <v>679000</v>
      </c>
      <c r="I192" s="25"/>
      <c r="J192" s="25"/>
      <c r="K192" s="25"/>
      <c r="L192" s="25"/>
      <c r="M192" s="25"/>
      <c r="N192" s="25">
        <v>5303049</v>
      </c>
      <c r="O192" s="25">
        <v>5007</v>
      </c>
      <c r="P192" s="25"/>
      <c r="Q192" s="25"/>
      <c r="R192" s="25"/>
      <c r="S192" s="25">
        <v>4020940</v>
      </c>
      <c r="T192" s="25"/>
      <c r="U192" s="25"/>
      <c r="V192" s="25"/>
      <c r="W192" s="25">
        <v>1350000</v>
      </c>
      <c r="X192" s="25"/>
      <c r="Y192" s="25"/>
      <c r="Z192" s="25"/>
      <c r="AA192" s="25"/>
      <c r="AB192" s="25"/>
      <c r="AC192" s="25"/>
      <c r="AD192" s="25"/>
      <c r="AE192" s="25">
        <f t="shared" si="20"/>
        <v>25987992</v>
      </c>
    </row>
    <row r="193" spans="1:31" ht="12.75">
      <c r="A193" s="5" t="s">
        <v>73</v>
      </c>
      <c r="B193" s="5" t="s">
        <v>72</v>
      </c>
      <c r="C193" s="25"/>
      <c r="D193" s="25"/>
      <c r="E193" s="25">
        <f>160979.6+1448816.4+4970106+409964</f>
        <v>6989866</v>
      </c>
      <c r="F193" s="25"/>
      <c r="G193" s="25">
        <v>4235689</v>
      </c>
      <c r="H193" s="25"/>
      <c r="I193" s="25"/>
      <c r="J193" s="25"/>
      <c r="K193" s="25"/>
      <c r="L193" s="25"/>
      <c r="M193" s="25"/>
      <c r="N193" s="25"/>
      <c r="O193" s="25">
        <v>97146.2</v>
      </c>
      <c r="P193" s="25"/>
      <c r="Q193" s="25"/>
      <c r="R193" s="25">
        <v>1708587.4</v>
      </c>
      <c r="S193" s="25">
        <v>4090275</v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>
        <f t="shared" si="20"/>
        <v>17121563.6</v>
      </c>
    </row>
    <row r="194" spans="1:31" ht="12.75" customHeight="1">
      <c r="A194" s="5" t="s">
        <v>469</v>
      </c>
      <c r="B194" s="5" t="s">
        <v>399</v>
      </c>
      <c r="C194" s="25"/>
      <c r="D194" s="25"/>
      <c r="E194" s="25">
        <v>155177</v>
      </c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>
        <f t="shared" si="20"/>
        <v>155177</v>
      </c>
    </row>
    <row r="195" spans="1:31" ht="12.75">
      <c r="A195" s="5" t="s">
        <v>511</v>
      </c>
      <c r="B195" s="5" t="s">
        <v>512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>
        <v>91954</v>
      </c>
      <c r="AE195" s="25">
        <f t="shared" si="20"/>
        <v>91954</v>
      </c>
    </row>
    <row r="196" spans="1:31" ht="12.75">
      <c r="A196" s="5" t="s">
        <v>75</v>
      </c>
      <c r="B196" s="5" t="s">
        <v>74</v>
      </c>
      <c r="C196" s="25"/>
      <c r="D196" s="25"/>
      <c r="E196" s="25"/>
      <c r="F196" s="25"/>
      <c r="G196" s="25"/>
      <c r="H196" s="25"/>
      <c r="I196" s="25"/>
      <c r="J196" s="25"/>
      <c r="K196" s="25">
        <v>863063</v>
      </c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>
        <f t="shared" si="20"/>
        <v>863063</v>
      </c>
    </row>
    <row r="197" spans="1:31" ht="21">
      <c r="A197" s="5" t="s">
        <v>77</v>
      </c>
      <c r="B197" s="5" t="s">
        <v>76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O197" s="25">
        <v>4897197.21</v>
      </c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>
        <f t="shared" si="20"/>
        <v>4897197.21</v>
      </c>
    </row>
    <row r="198" spans="1:31" ht="12.75">
      <c r="A198" s="5" t="s">
        <v>79</v>
      </c>
      <c r="B198" s="5" t="s">
        <v>78</v>
      </c>
      <c r="C198" s="25"/>
      <c r="D198" s="25"/>
      <c r="E198" s="25">
        <v>4762064</v>
      </c>
      <c r="F198" s="25"/>
      <c r="G198" s="25">
        <v>3817504</v>
      </c>
      <c r="H198" s="25"/>
      <c r="I198" s="25"/>
      <c r="J198" s="25"/>
      <c r="K198" s="25"/>
      <c r="L198" s="25"/>
      <c r="M198" s="25"/>
      <c r="N198" s="25">
        <v>1061900</v>
      </c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>
        <f t="shared" si="20"/>
        <v>9641468</v>
      </c>
    </row>
    <row r="199" spans="1:31" ht="12.75">
      <c r="A199" s="18" t="s">
        <v>113</v>
      </c>
      <c r="B199" s="4"/>
      <c r="C199" s="33">
        <f>SUM(C201:C219)</f>
        <v>964040</v>
      </c>
      <c r="D199" s="33">
        <f aca="true" t="shared" si="21" ref="D199:AE199">SUM(D201:D219)</f>
        <v>0</v>
      </c>
      <c r="E199" s="33">
        <f t="shared" si="21"/>
        <v>66437343</v>
      </c>
      <c r="F199" s="33">
        <f t="shared" si="21"/>
        <v>0</v>
      </c>
      <c r="G199" s="33">
        <f t="shared" si="21"/>
        <v>35976190</v>
      </c>
      <c r="H199" s="33">
        <f t="shared" si="21"/>
        <v>82583000</v>
      </c>
      <c r="I199" s="33">
        <f t="shared" si="21"/>
        <v>1920000</v>
      </c>
      <c r="J199" s="33">
        <f t="shared" si="21"/>
        <v>471572</v>
      </c>
      <c r="K199" s="33">
        <f t="shared" si="21"/>
        <v>0</v>
      </c>
      <c r="L199" s="33">
        <f t="shared" si="21"/>
        <v>0</v>
      </c>
      <c r="M199" s="33">
        <f t="shared" si="21"/>
        <v>0</v>
      </c>
      <c r="N199" s="33">
        <f t="shared" si="21"/>
        <v>14168169</v>
      </c>
      <c r="O199" s="33">
        <f t="shared" si="21"/>
        <v>18173739.65</v>
      </c>
      <c r="P199" s="33">
        <f t="shared" si="21"/>
        <v>0</v>
      </c>
      <c r="Q199" s="33">
        <f t="shared" si="21"/>
        <v>0</v>
      </c>
      <c r="R199" s="33">
        <f t="shared" si="21"/>
        <v>1399534</v>
      </c>
      <c r="S199" s="33">
        <f t="shared" si="21"/>
        <v>17552935</v>
      </c>
      <c r="T199" s="33">
        <f t="shared" si="21"/>
        <v>0</v>
      </c>
      <c r="U199" s="33">
        <f t="shared" si="21"/>
        <v>23200</v>
      </c>
      <c r="V199" s="33">
        <f t="shared" si="21"/>
        <v>0</v>
      </c>
      <c r="W199" s="33">
        <f t="shared" si="21"/>
        <v>0</v>
      </c>
      <c r="X199" s="33">
        <f t="shared" si="21"/>
        <v>22121269</v>
      </c>
      <c r="Y199" s="33">
        <f t="shared" si="21"/>
        <v>0</v>
      </c>
      <c r="Z199" s="33">
        <f t="shared" si="21"/>
        <v>0</v>
      </c>
      <c r="AA199" s="33">
        <f t="shared" si="21"/>
        <v>902820</v>
      </c>
      <c r="AB199" s="33">
        <f t="shared" si="21"/>
        <v>0</v>
      </c>
      <c r="AC199" s="33">
        <f t="shared" si="21"/>
        <v>0</v>
      </c>
      <c r="AD199" s="33">
        <f t="shared" si="21"/>
        <v>0</v>
      </c>
      <c r="AE199" s="33">
        <f t="shared" si="21"/>
        <v>262693811.65</v>
      </c>
    </row>
    <row r="200" spans="1:31" ht="12.75">
      <c r="A200" s="4"/>
      <c r="B200" s="4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>
        <f aca="true" t="shared" si="22" ref="AE200:AE220">SUM(C200:AD200)</f>
        <v>0</v>
      </c>
    </row>
    <row r="201" spans="1:31" ht="12.75">
      <c r="A201" s="5" t="s">
        <v>82</v>
      </c>
      <c r="B201" s="5" t="s">
        <v>81</v>
      </c>
      <c r="C201" s="25"/>
      <c r="D201" s="25"/>
      <c r="E201" s="25">
        <v>4091679</v>
      </c>
      <c r="F201" s="25"/>
      <c r="G201" s="25">
        <v>3551796</v>
      </c>
      <c r="H201" s="25"/>
      <c r="I201" s="25"/>
      <c r="J201" s="25"/>
      <c r="K201" s="25"/>
      <c r="L201" s="25"/>
      <c r="M201" s="25"/>
      <c r="N201" s="25">
        <f>401906+160169+1781508</f>
        <v>2343583</v>
      </c>
      <c r="O201" s="25">
        <f>148292+636853.95</f>
        <v>785145.95</v>
      </c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>
        <f t="shared" si="22"/>
        <v>10772203.95</v>
      </c>
    </row>
    <row r="202" spans="1:31" ht="12.75">
      <c r="A202" s="5" t="s">
        <v>84</v>
      </c>
      <c r="B202" s="5" t="s">
        <v>83</v>
      </c>
      <c r="C202" s="25">
        <v>163240</v>
      </c>
      <c r="D202" s="25"/>
      <c r="E202" s="25">
        <v>10566041</v>
      </c>
      <c r="F202" s="25"/>
      <c r="G202" s="25">
        <v>11582225</v>
      </c>
      <c r="H202" s="25">
        <v>133000</v>
      </c>
      <c r="I202" s="25"/>
      <c r="J202" s="25"/>
      <c r="K202" s="25"/>
      <c r="L202" s="25"/>
      <c r="M202" s="25"/>
      <c r="N202" s="25">
        <v>664406</v>
      </c>
      <c r="O202" s="25">
        <v>4027828.55</v>
      </c>
      <c r="P202" s="25"/>
      <c r="Q202" s="25"/>
      <c r="R202" s="25">
        <v>90714</v>
      </c>
      <c r="S202" s="25">
        <v>5635000</v>
      </c>
      <c r="T202" s="25"/>
      <c r="U202" s="25"/>
      <c r="V202" s="25"/>
      <c r="W202" s="25"/>
      <c r="X202" s="25">
        <v>10996865</v>
      </c>
      <c r="Y202" s="25"/>
      <c r="Z202" s="25"/>
      <c r="AA202" s="25"/>
      <c r="AB202" s="25"/>
      <c r="AC202" s="25"/>
      <c r="AD202" s="25"/>
      <c r="AE202" s="25">
        <f t="shared" si="22"/>
        <v>43859319.55</v>
      </c>
    </row>
    <row r="203" spans="1:31" ht="12.75">
      <c r="A203" s="5" t="s">
        <v>86</v>
      </c>
      <c r="B203" s="5" t="s">
        <v>85</v>
      </c>
      <c r="C203" s="25"/>
      <c r="D203" s="25"/>
      <c r="E203" s="25">
        <v>102491</v>
      </c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>
        <f t="shared" si="22"/>
        <v>102491</v>
      </c>
    </row>
    <row r="204" spans="1:31" ht="31.5">
      <c r="A204" s="5" t="s">
        <v>88</v>
      </c>
      <c r="B204" s="5" t="s">
        <v>87</v>
      </c>
      <c r="C204" s="25"/>
      <c r="D204" s="25"/>
      <c r="E204" s="25">
        <v>76868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>
        <f t="shared" si="22"/>
        <v>76868</v>
      </c>
    </row>
    <row r="205" spans="1:31" ht="12.75">
      <c r="A205" s="5" t="s">
        <v>90</v>
      </c>
      <c r="B205" s="5" t="s">
        <v>89</v>
      </c>
      <c r="C205" s="25"/>
      <c r="D205" s="25"/>
      <c r="E205" s="25">
        <v>262768</v>
      </c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>
        <f t="shared" si="22"/>
        <v>262768</v>
      </c>
    </row>
    <row r="206" spans="1:31" ht="21">
      <c r="A206" s="5" t="s">
        <v>92</v>
      </c>
      <c r="B206" s="5" t="s">
        <v>91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>
        <v>900642.15</v>
      </c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>
        <f t="shared" si="22"/>
        <v>900642.15</v>
      </c>
    </row>
    <row r="207" spans="1:31" ht="12.75">
      <c r="A207" s="5" t="s">
        <v>94</v>
      </c>
      <c r="B207" s="5" t="s">
        <v>93</v>
      </c>
      <c r="C207" s="25"/>
      <c r="D207" s="25"/>
      <c r="E207" s="25">
        <v>6291467</v>
      </c>
      <c r="F207" s="25"/>
      <c r="G207" s="25">
        <v>5404352</v>
      </c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>
        <f>515+4637+876</f>
        <v>6028</v>
      </c>
      <c r="S207" s="25">
        <v>2736000</v>
      </c>
      <c r="T207" s="25"/>
      <c r="U207" s="25"/>
      <c r="V207" s="25"/>
      <c r="W207" s="25"/>
      <c r="X207" s="25">
        <v>7873011</v>
      </c>
      <c r="Y207" s="25"/>
      <c r="Z207" s="25"/>
      <c r="AA207" s="25"/>
      <c r="AB207" s="25"/>
      <c r="AC207" s="25"/>
      <c r="AD207" s="25"/>
      <c r="AE207" s="25">
        <f t="shared" si="22"/>
        <v>22310858</v>
      </c>
    </row>
    <row r="208" spans="1:31" ht="12.75">
      <c r="A208" s="5" t="s">
        <v>96</v>
      </c>
      <c r="B208" s="5" t="s">
        <v>95</v>
      </c>
      <c r="C208" s="25"/>
      <c r="D208" s="25"/>
      <c r="E208" s="25">
        <v>14421962</v>
      </c>
      <c r="F208" s="25"/>
      <c r="G208" s="25"/>
      <c r="H208" s="25">
        <v>82450000</v>
      </c>
      <c r="I208" s="25"/>
      <c r="J208" s="25"/>
      <c r="K208" s="25"/>
      <c r="L208" s="25"/>
      <c r="M208" s="25"/>
      <c r="N208" s="25">
        <v>922881</v>
      </c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>
        <v>902820</v>
      </c>
      <c r="AB208" s="25"/>
      <c r="AC208" s="25"/>
      <c r="AD208" s="25"/>
      <c r="AE208" s="25">
        <f t="shared" si="22"/>
        <v>98697663</v>
      </c>
    </row>
    <row r="209" spans="1:31" ht="12.75">
      <c r="A209" s="5" t="s">
        <v>98</v>
      </c>
      <c r="B209" s="5" t="s">
        <v>97</v>
      </c>
      <c r="C209" s="25"/>
      <c r="D209" s="25"/>
      <c r="E209" s="25">
        <f>6015949+163985</f>
        <v>6179934</v>
      </c>
      <c r="F209" s="25"/>
      <c r="G209" s="25">
        <f>524511.3+4720601.7</f>
        <v>5245113</v>
      </c>
      <c r="H209" s="25"/>
      <c r="I209" s="25"/>
      <c r="J209" s="25"/>
      <c r="K209" s="25"/>
      <c r="L209" s="25"/>
      <c r="M209" s="25"/>
      <c r="N209" s="25">
        <v>600000</v>
      </c>
      <c r="O209" s="25"/>
      <c r="P209" s="25"/>
      <c r="Q209" s="25"/>
      <c r="R209" s="25"/>
      <c r="S209" s="25">
        <v>2759680</v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>
        <f t="shared" si="22"/>
        <v>14784727</v>
      </c>
    </row>
    <row r="210" spans="1:31" ht="12.75">
      <c r="A210" s="5" t="s">
        <v>493</v>
      </c>
      <c r="B210" s="5" t="s">
        <v>494</v>
      </c>
      <c r="C210" s="25"/>
      <c r="D210" s="25"/>
      <c r="E210" s="25">
        <v>256227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>
        <f t="shared" si="22"/>
        <v>256227</v>
      </c>
    </row>
    <row r="211" spans="1:31" ht="12.75">
      <c r="A211" s="5" t="s">
        <v>100</v>
      </c>
      <c r="B211" s="5" t="s">
        <v>99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>
        <f>460810+8755390+1725036</f>
        <v>10941236</v>
      </c>
      <c r="P211" s="25"/>
      <c r="Q211" s="25"/>
      <c r="R211" s="25"/>
      <c r="S211" s="25"/>
      <c r="T211" s="25"/>
      <c r="U211" s="25"/>
      <c r="V211" s="25"/>
      <c r="W211" s="25"/>
      <c r="X211" s="25">
        <v>3251393</v>
      </c>
      <c r="Y211" s="25"/>
      <c r="Z211" s="25"/>
      <c r="AA211" s="25"/>
      <c r="AB211" s="25"/>
      <c r="AC211" s="25"/>
      <c r="AD211" s="25"/>
      <c r="AE211" s="25">
        <f t="shared" si="22"/>
        <v>14192629</v>
      </c>
    </row>
    <row r="212" spans="1:31" ht="12.75">
      <c r="A212" s="5" t="s">
        <v>102</v>
      </c>
      <c r="B212" s="5" t="s">
        <v>101</v>
      </c>
      <c r="C212" s="25"/>
      <c r="D212" s="25"/>
      <c r="E212" s="25">
        <v>9566593</v>
      </c>
      <c r="F212" s="25"/>
      <c r="G212" s="25"/>
      <c r="H212" s="25"/>
      <c r="I212" s="25"/>
      <c r="J212" s="25"/>
      <c r="K212" s="25"/>
      <c r="L212" s="25"/>
      <c r="M212" s="25"/>
      <c r="N212" s="25">
        <v>1129782</v>
      </c>
      <c r="O212" s="25"/>
      <c r="P212" s="25"/>
      <c r="Q212" s="25"/>
      <c r="R212" s="25">
        <v>1302792</v>
      </c>
      <c r="S212" s="25"/>
      <c r="T212" s="25"/>
      <c r="U212" s="25">
        <v>23200</v>
      </c>
      <c r="V212" s="25"/>
      <c r="W212" s="25"/>
      <c r="X212" s="25"/>
      <c r="Y212" s="25"/>
      <c r="Z212" s="25"/>
      <c r="AA212" s="25"/>
      <c r="AB212" s="25"/>
      <c r="AC212" s="25"/>
      <c r="AD212" s="25"/>
      <c r="AE212" s="25">
        <f t="shared" si="22"/>
        <v>12022367</v>
      </c>
    </row>
    <row r="213" spans="1:31" ht="12.75">
      <c r="A213" s="5" t="s">
        <v>104</v>
      </c>
      <c r="B213" s="5" t="s">
        <v>103</v>
      </c>
      <c r="C213" s="25">
        <v>800800</v>
      </c>
      <c r="D213" s="25"/>
      <c r="E213" s="25">
        <f>266999</f>
        <v>266999</v>
      </c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>
        <f t="shared" si="22"/>
        <v>1067799</v>
      </c>
    </row>
    <row r="214" spans="1:31" ht="12.75">
      <c r="A214" s="5" t="s">
        <v>106</v>
      </c>
      <c r="B214" s="5" t="s">
        <v>105</v>
      </c>
      <c r="C214" s="25"/>
      <c r="D214" s="25"/>
      <c r="E214" s="25">
        <v>2774851</v>
      </c>
      <c r="F214" s="25"/>
      <c r="G214" s="25">
        <v>2141820</v>
      </c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>
        <f t="shared" si="22"/>
        <v>4916671</v>
      </c>
    </row>
    <row r="215" spans="1:31" ht="12.75">
      <c r="A215" s="5" t="s">
        <v>400</v>
      </c>
      <c r="B215" s="5" t="s">
        <v>401</v>
      </c>
      <c r="C215" s="25"/>
      <c r="D215" s="25"/>
      <c r="E215" s="25">
        <v>698297</v>
      </c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>
        <f t="shared" si="22"/>
        <v>698297</v>
      </c>
    </row>
    <row r="216" spans="1:31" ht="12.75">
      <c r="A216" s="5" t="s">
        <v>108</v>
      </c>
      <c r="B216" s="5" t="s">
        <v>107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>
        <v>968432</v>
      </c>
      <c r="O216" s="25">
        <v>1009750</v>
      </c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>
        <f t="shared" si="22"/>
        <v>1978182</v>
      </c>
    </row>
    <row r="217" spans="1:31" ht="12.75">
      <c r="A217" s="5" t="s">
        <v>402</v>
      </c>
      <c r="B217" s="5" t="s">
        <v>403</v>
      </c>
      <c r="C217" s="25"/>
      <c r="D217" s="25"/>
      <c r="E217" s="25"/>
      <c r="F217" s="25"/>
      <c r="G217" s="25"/>
      <c r="H217" s="25"/>
      <c r="I217" s="25">
        <v>1920000</v>
      </c>
      <c r="J217" s="25">
        <v>471572</v>
      </c>
      <c r="K217" s="25"/>
      <c r="L217" s="25"/>
      <c r="M217" s="25"/>
      <c r="N217" s="25"/>
      <c r="O217" s="25"/>
      <c r="P217" s="25"/>
      <c r="Q217" s="25"/>
      <c r="R217" s="25"/>
      <c r="S217" s="25">
        <v>1728300</v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>
        <f t="shared" si="22"/>
        <v>4119872</v>
      </c>
    </row>
    <row r="218" spans="1:31" ht="21">
      <c r="A218" s="5" t="s">
        <v>110</v>
      </c>
      <c r="B218" s="5" t="s">
        <v>109</v>
      </c>
      <c r="C218" s="25"/>
      <c r="D218" s="25"/>
      <c r="E218" s="25">
        <v>664977</v>
      </c>
      <c r="F218" s="25"/>
      <c r="G218" s="25"/>
      <c r="H218" s="25"/>
      <c r="I218" s="25"/>
      <c r="J218" s="25"/>
      <c r="K218" s="25"/>
      <c r="L218" s="25"/>
      <c r="M218" s="25"/>
      <c r="N218" s="25">
        <f>1187907+2550000</f>
        <v>3737907</v>
      </c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>
        <f t="shared" si="22"/>
        <v>4402884</v>
      </c>
    </row>
    <row r="219" spans="1:31" ht="12.75">
      <c r="A219" s="5" t="s">
        <v>112</v>
      </c>
      <c r="B219" s="5" t="s">
        <v>111</v>
      </c>
      <c r="C219" s="25"/>
      <c r="D219" s="25"/>
      <c r="E219" s="25">
        <f>179359+10036830</f>
        <v>10216189</v>
      </c>
      <c r="F219" s="25"/>
      <c r="G219" s="25">
        <v>8050884</v>
      </c>
      <c r="H219" s="25"/>
      <c r="I219" s="25"/>
      <c r="J219" s="25"/>
      <c r="K219" s="25"/>
      <c r="L219" s="25"/>
      <c r="M219" s="25"/>
      <c r="N219" s="25">
        <f>2652163+1149015</f>
        <v>3801178</v>
      </c>
      <c r="O219" s="25">
        <v>509137</v>
      </c>
      <c r="P219" s="25"/>
      <c r="Q219" s="25"/>
      <c r="R219" s="25"/>
      <c r="S219" s="25">
        <f>469396+4224559</f>
        <v>4693955</v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>
        <f t="shared" si="22"/>
        <v>27271343</v>
      </c>
    </row>
    <row r="220" spans="1:31" ht="12.75">
      <c r="A220" s="3"/>
      <c r="B220" s="3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>
        <f t="shared" si="22"/>
        <v>0</v>
      </c>
    </row>
    <row r="221" spans="1:31" ht="12.75">
      <c r="A221" s="18" t="s">
        <v>199</v>
      </c>
      <c r="B221" s="4"/>
      <c r="C221" s="33">
        <f>SUM(C223:C239)</f>
        <v>369600</v>
      </c>
      <c r="D221" s="33">
        <f aca="true" t="shared" si="23" ref="D221:AE221">SUM(D223:D239)</f>
        <v>0</v>
      </c>
      <c r="E221" s="33">
        <f t="shared" si="23"/>
        <v>59604495</v>
      </c>
      <c r="F221" s="33">
        <f t="shared" si="23"/>
        <v>0</v>
      </c>
      <c r="G221" s="33">
        <f t="shared" si="23"/>
        <v>92518263</v>
      </c>
      <c r="H221" s="33">
        <f t="shared" si="23"/>
        <v>7077000</v>
      </c>
      <c r="I221" s="33">
        <f t="shared" si="23"/>
        <v>0</v>
      </c>
      <c r="J221" s="33">
        <f t="shared" si="23"/>
        <v>0</v>
      </c>
      <c r="K221" s="33">
        <f t="shared" si="23"/>
        <v>0</v>
      </c>
      <c r="L221" s="33">
        <f t="shared" si="23"/>
        <v>0</v>
      </c>
      <c r="M221" s="33">
        <f t="shared" si="23"/>
        <v>1782755.32</v>
      </c>
      <c r="N221" s="33">
        <f t="shared" si="23"/>
        <v>11211232</v>
      </c>
      <c r="O221" s="33">
        <f t="shared" si="23"/>
        <v>52210351.63</v>
      </c>
      <c r="P221" s="33">
        <f t="shared" si="23"/>
        <v>0</v>
      </c>
      <c r="Q221" s="33">
        <f t="shared" si="23"/>
        <v>1349982.39</v>
      </c>
      <c r="R221" s="33">
        <f t="shared" si="23"/>
        <v>2599275.38</v>
      </c>
      <c r="S221" s="33">
        <f t="shared" si="23"/>
        <v>49951041</v>
      </c>
      <c r="T221" s="33">
        <f t="shared" si="23"/>
        <v>0</v>
      </c>
      <c r="U221" s="33">
        <f t="shared" si="23"/>
        <v>16800</v>
      </c>
      <c r="V221" s="33">
        <f t="shared" si="23"/>
        <v>0</v>
      </c>
      <c r="W221" s="33">
        <f t="shared" si="23"/>
        <v>0</v>
      </c>
      <c r="X221" s="33">
        <f t="shared" si="23"/>
        <v>22318988</v>
      </c>
      <c r="Y221" s="33">
        <f t="shared" si="23"/>
        <v>0</v>
      </c>
      <c r="Z221" s="33">
        <f t="shared" si="23"/>
        <v>4902692</v>
      </c>
      <c r="AA221" s="33">
        <f t="shared" si="23"/>
        <v>0</v>
      </c>
      <c r="AB221" s="33">
        <f t="shared" si="23"/>
        <v>15477806</v>
      </c>
      <c r="AC221" s="33">
        <f t="shared" si="23"/>
        <v>0</v>
      </c>
      <c r="AD221" s="33">
        <f t="shared" si="23"/>
        <v>91954</v>
      </c>
      <c r="AE221" s="33">
        <f t="shared" si="23"/>
        <v>321482235.71999997</v>
      </c>
    </row>
    <row r="222" spans="1:31" ht="12.75">
      <c r="A222" s="4"/>
      <c r="B222" s="4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>
        <f aca="true" t="shared" si="24" ref="AE222:AE240">SUM(C222:AD222)</f>
        <v>0</v>
      </c>
    </row>
    <row r="223" spans="1:31" ht="12.75">
      <c r="A223" s="5" t="s">
        <v>115</v>
      </c>
      <c r="B223" s="5" t="s">
        <v>114</v>
      </c>
      <c r="C223" s="25"/>
      <c r="D223" s="25"/>
      <c r="E223" s="25">
        <v>3450847</v>
      </c>
      <c r="F223" s="25"/>
      <c r="G223" s="25">
        <f>927658+8348922</f>
        <v>9276580</v>
      </c>
      <c r="H223" s="25">
        <v>637000</v>
      </c>
      <c r="I223" s="25"/>
      <c r="J223" s="25"/>
      <c r="K223" s="25"/>
      <c r="L223" s="25"/>
      <c r="M223" s="25"/>
      <c r="N223" s="25">
        <v>706227</v>
      </c>
      <c r="O223" s="25">
        <v>596737.32</v>
      </c>
      <c r="P223" s="25"/>
      <c r="Q223" s="25"/>
      <c r="R223" s="25">
        <v>739056.77</v>
      </c>
      <c r="S223" s="25">
        <v>4113550</v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>
        <f t="shared" si="24"/>
        <v>19519998.09</v>
      </c>
    </row>
    <row r="224" spans="1:31" ht="12.75">
      <c r="A224" s="5" t="s">
        <v>117</v>
      </c>
      <c r="B224" s="5" t="s">
        <v>116</v>
      </c>
      <c r="C224" s="25"/>
      <c r="D224" s="25"/>
      <c r="E224" s="25">
        <f>5930101+15373</f>
        <v>5945474</v>
      </c>
      <c r="F224" s="25"/>
      <c r="G224" s="25">
        <v>7889443</v>
      </c>
      <c r="H224" s="25">
        <v>770000</v>
      </c>
      <c r="I224" s="25"/>
      <c r="J224" s="25"/>
      <c r="K224" s="25"/>
      <c r="L224" s="25"/>
      <c r="M224" s="25"/>
      <c r="N224" s="25">
        <v>2841970</v>
      </c>
      <c r="O224" s="25">
        <v>8705870</v>
      </c>
      <c r="P224" s="25"/>
      <c r="Q224" s="25">
        <v>128389.81</v>
      </c>
      <c r="R224" s="25">
        <v>120675</v>
      </c>
      <c r="S224" s="25">
        <v>4961250</v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>
        <f t="shared" si="24"/>
        <v>31363071.81</v>
      </c>
    </row>
    <row r="225" spans="1:31" ht="12.75">
      <c r="A225" s="5" t="s">
        <v>119</v>
      </c>
      <c r="B225" s="5" t="s">
        <v>118</v>
      </c>
      <c r="C225" s="25"/>
      <c r="D225" s="25"/>
      <c r="E225" s="25">
        <v>8191596</v>
      </c>
      <c r="F225" s="25"/>
      <c r="G225" s="25">
        <f>870022.5+7830202.5</f>
        <v>8700225</v>
      </c>
      <c r="H225" s="25"/>
      <c r="I225" s="25"/>
      <c r="J225" s="25"/>
      <c r="K225" s="25"/>
      <c r="L225" s="25"/>
      <c r="M225" s="25"/>
      <c r="N225" s="25"/>
      <c r="O225" s="25">
        <f>417658+631972</f>
        <v>1049630</v>
      </c>
      <c r="P225" s="25"/>
      <c r="Q225" s="25">
        <f>24166.21+217495.91</f>
        <v>241662.12</v>
      </c>
      <c r="R225" s="25">
        <f>107254+508458</f>
        <v>615712</v>
      </c>
      <c r="S225" s="25">
        <v>5400780</v>
      </c>
      <c r="T225" s="25"/>
      <c r="U225" s="25"/>
      <c r="V225" s="25"/>
      <c r="W225" s="25"/>
      <c r="X225" s="25"/>
      <c r="Y225" s="25"/>
      <c r="Z225" s="25"/>
      <c r="AA225" s="25"/>
      <c r="AB225" s="25">
        <v>13279919</v>
      </c>
      <c r="AC225" s="25"/>
      <c r="AD225" s="25"/>
      <c r="AE225" s="25">
        <f t="shared" si="24"/>
        <v>37479524.120000005</v>
      </c>
    </row>
    <row r="226" spans="1:31" ht="12.75">
      <c r="A226" s="5" t="s">
        <v>121</v>
      </c>
      <c r="B226" s="5" t="s">
        <v>120</v>
      </c>
      <c r="C226" s="25"/>
      <c r="D226" s="25"/>
      <c r="E226" s="25">
        <v>4549840</v>
      </c>
      <c r="F226" s="25"/>
      <c r="G226" s="25">
        <v>8959230</v>
      </c>
      <c r="H226" s="25"/>
      <c r="I226" s="25"/>
      <c r="J226" s="25"/>
      <c r="K226" s="25"/>
      <c r="L226" s="25"/>
      <c r="M226" s="25"/>
      <c r="N226" s="25"/>
      <c r="O226" s="25"/>
      <c r="P226" s="25"/>
      <c r="Q226" s="25">
        <f>27108.96+243980.63</f>
        <v>271089.59</v>
      </c>
      <c r="R226" s="25"/>
      <c r="S226" s="25">
        <v>3944500</v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>
        <f t="shared" si="24"/>
        <v>17724659.59</v>
      </c>
    </row>
    <row r="227" spans="1:31" ht="12.75">
      <c r="A227" s="5" t="s">
        <v>123</v>
      </c>
      <c r="B227" s="5" t="s">
        <v>122</v>
      </c>
      <c r="C227" s="25">
        <v>369600</v>
      </c>
      <c r="D227" s="25"/>
      <c r="E227" s="25">
        <v>10255427</v>
      </c>
      <c r="F227" s="25"/>
      <c r="G227" s="25">
        <f>1715422.5+15438802.5</f>
        <v>17154225</v>
      </c>
      <c r="H227" s="25">
        <v>1645000</v>
      </c>
      <c r="I227" s="25"/>
      <c r="J227" s="25"/>
      <c r="K227" s="25"/>
      <c r="L227" s="25"/>
      <c r="M227" s="25"/>
      <c r="N227" s="25">
        <f>1731585+71016</f>
        <v>1802601</v>
      </c>
      <c r="O227" s="25">
        <f>421233+5394958.15</f>
        <v>5816191.15</v>
      </c>
      <c r="P227" s="25"/>
      <c r="Q227" s="25">
        <f>36492.42+328431.8</f>
        <v>364924.22</v>
      </c>
      <c r="R227" s="25">
        <f>193902+5797+52174+7246</f>
        <v>259119</v>
      </c>
      <c r="S227" s="25">
        <v>7466375</v>
      </c>
      <c r="T227" s="25"/>
      <c r="U227" s="25">
        <v>16800</v>
      </c>
      <c r="V227" s="25"/>
      <c r="W227" s="25"/>
      <c r="X227" s="25">
        <v>9625894</v>
      </c>
      <c r="Y227" s="25"/>
      <c r="Z227" s="25"/>
      <c r="AA227" s="25"/>
      <c r="AB227" s="25">
        <f>219788.7+1978098.3</f>
        <v>2197887</v>
      </c>
      <c r="AC227" s="25"/>
      <c r="AD227" s="25"/>
      <c r="AE227" s="25">
        <f t="shared" si="24"/>
        <v>56974043.37</v>
      </c>
    </row>
    <row r="228" spans="1:31" ht="12.75">
      <c r="A228" s="5" t="s">
        <v>125</v>
      </c>
      <c r="B228" s="5" t="s">
        <v>124</v>
      </c>
      <c r="C228" s="25"/>
      <c r="D228" s="25"/>
      <c r="E228" s="25">
        <v>3440516</v>
      </c>
      <c r="F228" s="25"/>
      <c r="G228" s="25">
        <f>596702+5370318</f>
        <v>5967020</v>
      </c>
      <c r="H228" s="25">
        <v>182000</v>
      </c>
      <c r="I228" s="25"/>
      <c r="J228" s="25"/>
      <c r="K228" s="25"/>
      <c r="L228" s="25"/>
      <c r="M228" s="25"/>
      <c r="N228" s="25"/>
      <c r="O228" s="25">
        <v>357546.64</v>
      </c>
      <c r="P228" s="25"/>
      <c r="Q228" s="25"/>
      <c r="R228" s="25">
        <f>52681+219728</f>
        <v>272409</v>
      </c>
      <c r="S228" s="25">
        <v>2451240</v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>
        <f t="shared" si="24"/>
        <v>12670731.64</v>
      </c>
    </row>
    <row r="229" spans="1:31" ht="12.75">
      <c r="A229" s="5" t="s">
        <v>127</v>
      </c>
      <c r="B229" s="5" t="s">
        <v>126</v>
      </c>
      <c r="C229" s="25"/>
      <c r="D229" s="25"/>
      <c r="E229" s="25">
        <v>7596595</v>
      </c>
      <c r="F229" s="25"/>
      <c r="G229" s="25">
        <f>748399.2+6735592.8+2790908</f>
        <v>10274900</v>
      </c>
      <c r="H229" s="25">
        <v>1393000</v>
      </c>
      <c r="I229" s="25"/>
      <c r="J229" s="25"/>
      <c r="K229" s="25"/>
      <c r="L229" s="25"/>
      <c r="M229" s="25"/>
      <c r="N229" s="25">
        <v>2547804</v>
      </c>
      <c r="O229" s="25">
        <f>371805.09+249293.74+2356567.55</f>
        <v>2977666.38</v>
      </c>
      <c r="P229" s="25"/>
      <c r="Q229" s="25"/>
      <c r="R229" s="25">
        <v>172583.61</v>
      </c>
      <c r="S229" s="25">
        <v>8268896</v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>
        <f t="shared" si="24"/>
        <v>33231444.99</v>
      </c>
    </row>
    <row r="230" spans="1:31" ht="12.75">
      <c r="A230" s="5" t="s">
        <v>129</v>
      </c>
      <c r="B230" s="5" t="s">
        <v>128</v>
      </c>
      <c r="C230" s="25"/>
      <c r="D230" s="25"/>
      <c r="E230" s="25">
        <v>4836530</v>
      </c>
      <c r="F230" s="25"/>
      <c r="G230" s="25">
        <f>1479503.7+13315533.3</f>
        <v>14795037</v>
      </c>
      <c r="H230" s="25">
        <v>658000</v>
      </c>
      <c r="I230" s="25"/>
      <c r="J230" s="25"/>
      <c r="K230" s="25"/>
      <c r="L230" s="25"/>
      <c r="M230" s="25"/>
      <c r="N230" s="25">
        <v>3312630</v>
      </c>
      <c r="O230" s="25">
        <f>6051973.06+327158+6215997+529076</f>
        <v>13124204.059999999</v>
      </c>
      <c r="P230" s="25"/>
      <c r="Q230" s="25"/>
      <c r="R230" s="25"/>
      <c r="S230" s="25">
        <v>6536600</v>
      </c>
      <c r="T230" s="25"/>
      <c r="U230" s="25"/>
      <c r="V230" s="25"/>
      <c r="W230" s="25"/>
      <c r="X230" s="25"/>
      <c r="Y230" s="25"/>
      <c r="Z230" s="25">
        <v>4902692</v>
      </c>
      <c r="AA230" s="25"/>
      <c r="AB230" s="25"/>
      <c r="AC230" s="25"/>
      <c r="AD230" s="25"/>
      <c r="AE230" s="25">
        <f t="shared" si="24"/>
        <v>48165693.06</v>
      </c>
    </row>
    <row r="231" spans="1:31" ht="12.75">
      <c r="A231" s="5" t="s">
        <v>131</v>
      </c>
      <c r="B231" s="5" t="s">
        <v>130</v>
      </c>
      <c r="C231" s="25"/>
      <c r="D231" s="25"/>
      <c r="E231" s="25">
        <v>7909098</v>
      </c>
      <c r="F231" s="25"/>
      <c r="G231" s="25">
        <v>9501603</v>
      </c>
      <c r="H231" s="25"/>
      <c r="I231" s="25"/>
      <c r="J231" s="25"/>
      <c r="K231" s="25"/>
      <c r="L231" s="25"/>
      <c r="M231" s="25"/>
      <c r="N231" s="25"/>
      <c r="O231" s="25">
        <v>4383934.94</v>
      </c>
      <c r="P231" s="25"/>
      <c r="Q231" s="25"/>
      <c r="R231" s="25"/>
      <c r="S231" s="25">
        <v>3756830</v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>
        <f t="shared" si="24"/>
        <v>25551465.94</v>
      </c>
    </row>
    <row r="232" spans="1:31" ht="24.75" customHeight="1">
      <c r="A232" s="5" t="s">
        <v>487</v>
      </c>
      <c r="B232" s="5" t="s">
        <v>488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>
        <v>1888574</v>
      </c>
      <c r="Y232" s="25"/>
      <c r="Z232" s="25"/>
      <c r="AA232" s="25"/>
      <c r="AB232" s="25"/>
      <c r="AC232" s="25"/>
      <c r="AD232" s="25"/>
      <c r="AE232" s="25">
        <f t="shared" si="24"/>
        <v>1888574</v>
      </c>
    </row>
    <row r="233" spans="1:31" ht="12.75">
      <c r="A233" s="5" t="s">
        <v>404</v>
      </c>
      <c r="B233" s="5" t="s">
        <v>405</v>
      </c>
      <c r="C233" s="25"/>
      <c r="D233" s="25"/>
      <c r="E233" s="25">
        <v>231919</v>
      </c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>
        <f t="shared" si="24"/>
        <v>231919</v>
      </c>
    </row>
    <row r="234" spans="1:31" ht="12.75">
      <c r="A234" s="5" t="s">
        <v>406</v>
      </c>
      <c r="B234" s="5" t="s">
        <v>407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>
        <v>10804520</v>
      </c>
      <c r="Y234" s="25"/>
      <c r="Z234" s="25"/>
      <c r="AA234" s="25"/>
      <c r="AB234" s="25"/>
      <c r="AC234" s="25"/>
      <c r="AD234" s="25"/>
      <c r="AE234" s="25">
        <f t="shared" si="24"/>
        <v>10804520</v>
      </c>
    </row>
    <row r="235" spans="1:31" ht="12.75">
      <c r="A235" s="5" t="s">
        <v>408</v>
      </c>
      <c r="B235" s="5" t="s">
        <v>409</v>
      </c>
      <c r="C235" s="25"/>
      <c r="D235" s="25"/>
      <c r="E235" s="25"/>
      <c r="F235" s="25"/>
      <c r="G235" s="25"/>
      <c r="H235" s="25">
        <v>224000</v>
      </c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>
        <f t="shared" si="24"/>
        <v>224000</v>
      </c>
    </row>
    <row r="236" spans="1:31" ht="12.75">
      <c r="A236" s="5" t="s">
        <v>410</v>
      </c>
      <c r="B236" s="5" t="s">
        <v>411</v>
      </c>
      <c r="C236" s="25"/>
      <c r="D236" s="25"/>
      <c r="E236" s="25"/>
      <c r="F236" s="25"/>
      <c r="G236" s="25"/>
      <c r="H236" s="25"/>
      <c r="I236" s="25"/>
      <c r="J236" s="25"/>
      <c r="K236" s="25"/>
      <c r="M236" s="25">
        <v>1782755.32</v>
      </c>
      <c r="N236" s="25"/>
      <c r="O236" s="25"/>
      <c r="P236" s="25"/>
      <c r="Q236" s="25"/>
      <c r="R236" s="25">
        <f>40345.56+363110+16264.44</f>
        <v>419720</v>
      </c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>
        <f t="shared" si="24"/>
        <v>2202475.3200000003</v>
      </c>
    </row>
    <row r="237" spans="1:31" ht="12.75">
      <c r="A237" s="5" t="s">
        <v>133</v>
      </c>
      <c r="B237" s="5" t="s">
        <v>132</v>
      </c>
      <c r="C237" s="25"/>
      <c r="D237" s="25"/>
      <c r="E237" s="25">
        <v>226922</v>
      </c>
      <c r="F237" s="25"/>
      <c r="G237" s="25"/>
      <c r="H237" s="25">
        <v>308000</v>
      </c>
      <c r="I237" s="25"/>
      <c r="J237" s="25"/>
      <c r="K237" s="25"/>
      <c r="L237" s="25"/>
      <c r="M237" s="25"/>
      <c r="N237" s="25"/>
      <c r="O237" s="25">
        <v>2224688</v>
      </c>
      <c r="P237" s="25"/>
      <c r="Q237" s="25">
        <v>243820.15</v>
      </c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>
        <f t="shared" si="24"/>
        <v>3003430.15</v>
      </c>
    </row>
    <row r="238" spans="1:31" ht="12.75">
      <c r="A238" s="5" t="s">
        <v>135</v>
      </c>
      <c r="B238" s="5" t="s">
        <v>134</v>
      </c>
      <c r="C238" s="25"/>
      <c r="D238" s="25"/>
      <c r="E238" s="25">
        <v>2969731</v>
      </c>
      <c r="F238" s="25"/>
      <c r="G238" s="25"/>
      <c r="H238" s="25">
        <v>1260000</v>
      </c>
      <c r="I238" s="25"/>
      <c r="J238" s="25"/>
      <c r="K238" s="25"/>
      <c r="L238" s="25"/>
      <c r="M238" s="25"/>
      <c r="N238" s="25"/>
      <c r="O238" s="25">
        <v>12973883.14</v>
      </c>
      <c r="P238" s="25"/>
      <c r="Q238" s="25">
        <v>100096.5</v>
      </c>
      <c r="R238" s="25"/>
      <c r="S238" s="25">
        <v>3051020</v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>
        <f t="shared" si="24"/>
        <v>20354730.64</v>
      </c>
    </row>
    <row r="239" spans="1:31" ht="12.75">
      <c r="A239" s="5" t="s">
        <v>489</v>
      </c>
      <c r="B239" s="5" t="s">
        <v>490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>
        <v>91954</v>
      </c>
      <c r="AE239" s="25">
        <f t="shared" si="24"/>
        <v>91954</v>
      </c>
    </row>
    <row r="240" spans="1:31" ht="12.75">
      <c r="A240" s="3"/>
      <c r="B240" s="3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>
        <f t="shared" si="24"/>
        <v>0</v>
      </c>
    </row>
    <row r="241" spans="1:31" ht="12.75">
      <c r="A241" s="18" t="s">
        <v>412</v>
      </c>
      <c r="B241" s="4"/>
      <c r="C241" s="33">
        <f>C242</f>
        <v>0</v>
      </c>
      <c r="D241" s="33">
        <f aca="true" t="shared" si="25" ref="D241:AE241">D242</f>
        <v>0</v>
      </c>
      <c r="E241" s="33">
        <f t="shared" si="25"/>
        <v>0</v>
      </c>
      <c r="F241" s="33">
        <f t="shared" si="25"/>
        <v>0</v>
      </c>
      <c r="G241" s="33">
        <f t="shared" si="25"/>
        <v>0</v>
      </c>
      <c r="H241" s="33">
        <f t="shared" si="25"/>
        <v>0</v>
      </c>
      <c r="I241" s="33">
        <f t="shared" si="25"/>
        <v>0</v>
      </c>
      <c r="J241" s="33">
        <f t="shared" si="25"/>
        <v>0</v>
      </c>
      <c r="K241" s="33">
        <f t="shared" si="25"/>
        <v>0</v>
      </c>
      <c r="L241" s="33">
        <f t="shared" si="25"/>
        <v>0</v>
      </c>
      <c r="M241" s="33">
        <f t="shared" si="25"/>
        <v>0</v>
      </c>
      <c r="N241" s="33">
        <f t="shared" si="25"/>
        <v>0</v>
      </c>
      <c r="O241" s="33">
        <f t="shared" si="25"/>
        <v>0</v>
      </c>
      <c r="P241" s="33">
        <f t="shared" si="25"/>
        <v>0</v>
      </c>
      <c r="Q241" s="33">
        <f t="shared" si="25"/>
        <v>0</v>
      </c>
      <c r="R241" s="33">
        <f t="shared" si="25"/>
        <v>0</v>
      </c>
      <c r="S241" s="33">
        <f t="shared" si="25"/>
        <v>0</v>
      </c>
      <c r="T241" s="33">
        <f t="shared" si="25"/>
        <v>0</v>
      </c>
      <c r="U241" s="33">
        <f t="shared" si="25"/>
        <v>0</v>
      </c>
      <c r="V241" s="33">
        <f t="shared" si="25"/>
        <v>0</v>
      </c>
      <c r="W241" s="33">
        <f t="shared" si="25"/>
        <v>0</v>
      </c>
      <c r="X241" s="33">
        <f t="shared" si="25"/>
        <v>0</v>
      </c>
      <c r="Y241" s="33">
        <f t="shared" si="25"/>
        <v>0</v>
      </c>
      <c r="Z241" s="33">
        <f t="shared" si="25"/>
        <v>0</v>
      </c>
      <c r="AA241" s="33">
        <f t="shared" si="25"/>
        <v>0</v>
      </c>
      <c r="AB241" s="33">
        <f t="shared" si="25"/>
        <v>0</v>
      </c>
      <c r="AC241" s="33">
        <f t="shared" si="25"/>
        <v>0</v>
      </c>
      <c r="AD241" s="33">
        <f t="shared" si="25"/>
        <v>91954</v>
      </c>
      <c r="AE241" s="33">
        <f t="shared" si="25"/>
        <v>91954</v>
      </c>
    </row>
    <row r="242" spans="1:31" ht="12.75">
      <c r="A242" s="5" t="s">
        <v>413</v>
      </c>
      <c r="B242" s="5" t="s">
        <v>414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>
        <v>91954</v>
      </c>
      <c r="AE242" s="25">
        <f>SUM(C242:AD242)</f>
        <v>91954</v>
      </c>
    </row>
    <row r="243" spans="1:31" ht="12.75">
      <c r="A243" s="3"/>
      <c r="B243" s="3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>
        <f>SUM(C243:AD243)</f>
        <v>0</v>
      </c>
    </row>
    <row r="244" spans="1:31" ht="12.75">
      <c r="A244" s="18" t="s">
        <v>204</v>
      </c>
      <c r="B244" s="4"/>
      <c r="C244" s="33">
        <f>SUM(C246:C250)</f>
        <v>0</v>
      </c>
      <c r="D244" s="33">
        <f aca="true" t="shared" si="26" ref="D244:AE244">SUM(D246:D250)</f>
        <v>0</v>
      </c>
      <c r="E244" s="33">
        <f t="shared" si="26"/>
        <v>17855387</v>
      </c>
      <c r="F244" s="33">
        <f t="shared" si="26"/>
        <v>0</v>
      </c>
      <c r="G244" s="33">
        <f t="shared" si="26"/>
        <v>16604762</v>
      </c>
      <c r="H244" s="33">
        <f t="shared" si="26"/>
        <v>1309000</v>
      </c>
      <c r="I244" s="33">
        <f t="shared" si="26"/>
        <v>0</v>
      </c>
      <c r="J244" s="33">
        <f t="shared" si="26"/>
        <v>0</v>
      </c>
      <c r="K244" s="33">
        <f t="shared" si="26"/>
        <v>0</v>
      </c>
      <c r="L244" s="33">
        <f t="shared" si="26"/>
        <v>0</v>
      </c>
      <c r="M244" s="33">
        <f t="shared" si="26"/>
        <v>0</v>
      </c>
      <c r="N244" s="33">
        <f t="shared" si="26"/>
        <v>1512863</v>
      </c>
      <c r="O244" s="33">
        <f>SUM(O246:O250)</f>
        <v>3546610</v>
      </c>
      <c r="P244" s="33">
        <f t="shared" si="26"/>
        <v>0</v>
      </c>
      <c r="Q244" s="33">
        <f t="shared" si="26"/>
        <v>0</v>
      </c>
      <c r="R244" s="33">
        <f t="shared" si="26"/>
        <v>0</v>
      </c>
      <c r="S244" s="33">
        <f t="shared" si="26"/>
        <v>10296250</v>
      </c>
      <c r="T244" s="33">
        <f t="shared" si="26"/>
        <v>0</v>
      </c>
      <c r="U244" s="33">
        <f t="shared" si="26"/>
        <v>0</v>
      </c>
      <c r="V244" s="33">
        <f t="shared" si="26"/>
        <v>0</v>
      </c>
      <c r="W244" s="33">
        <f t="shared" si="26"/>
        <v>0</v>
      </c>
      <c r="X244" s="33">
        <f t="shared" si="26"/>
        <v>0</v>
      </c>
      <c r="Y244" s="33">
        <f t="shared" si="26"/>
        <v>0</v>
      </c>
      <c r="Z244" s="33">
        <f t="shared" si="26"/>
        <v>1071704</v>
      </c>
      <c r="AA244" s="33">
        <f t="shared" si="26"/>
        <v>0</v>
      </c>
      <c r="AB244" s="33">
        <f t="shared" si="26"/>
        <v>0</v>
      </c>
      <c r="AC244" s="33">
        <f t="shared" si="26"/>
        <v>2834057</v>
      </c>
      <c r="AD244" s="33">
        <f t="shared" si="26"/>
        <v>0</v>
      </c>
      <c r="AE244" s="33">
        <f t="shared" si="26"/>
        <v>55030633</v>
      </c>
    </row>
    <row r="245" spans="1:31" ht="12.75">
      <c r="A245" s="4"/>
      <c r="B245" s="4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>
        <f>SUM(C245:AD245)</f>
        <v>0</v>
      </c>
    </row>
    <row r="246" spans="1:31" ht="12.75">
      <c r="A246" s="5" t="s">
        <v>201</v>
      </c>
      <c r="B246" s="5" t="s">
        <v>200</v>
      </c>
      <c r="C246" s="25"/>
      <c r="D246" s="25"/>
      <c r="E246" s="25">
        <v>9539163</v>
      </c>
      <c r="F246" s="25"/>
      <c r="G246" s="25">
        <v>9605909</v>
      </c>
      <c r="H246" s="25">
        <v>784000</v>
      </c>
      <c r="J246" s="25"/>
      <c r="K246" s="25"/>
      <c r="L246" s="25"/>
      <c r="M246" s="25"/>
      <c r="N246" s="25"/>
      <c r="O246" s="25">
        <v>1685784</v>
      </c>
      <c r="P246" s="25"/>
      <c r="Q246" s="25"/>
      <c r="R246" s="25"/>
      <c r="S246" s="25">
        <f>558000+5022000</f>
        <v>5580000</v>
      </c>
      <c r="T246" s="25"/>
      <c r="U246" s="25"/>
      <c r="V246" s="25"/>
      <c r="W246" s="25"/>
      <c r="X246" s="25"/>
      <c r="Y246" s="25"/>
      <c r="Z246" s="25">
        <v>1071704</v>
      </c>
      <c r="AA246" s="25"/>
      <c r="AB246" s="25"/>
      <c r="AC246" s="25">
        <f>283405.7+2550651.3</f>
        <v>2834057</v>
      </c>
      <c r="AD246" s="25"/>
      <c r="AE246" s="25">
        <f>SUM(C246:AD246)</f>
        <v>31100617</v>
      </c>
    </row>
    <row r="247" spans="1:31" ht="12.75">
      <c r="A247" s="5" t="s">
        <v>203</v>
      </c>
      <c r="B247" s="5" t="s">
        <v>202</v>
      </c>
      <c r="D247" s="25"/>
      <c r="E247" s="25">
        <v>8140907</v>
      </c>
      <c r="F247" s="25"/>
      <c r="G247" s="25">
        <v>6998853</v>
      </c>
      <c r="H247" s="25">
        <v>525000</v>
      </c>
      <c r="I247" s="25"/>
      <c r="J247" s="25"/>
      <c r="K247" s="25"/>
      <c r="L247" s="25"/>
      <c r="M247" s="25"/>
      <c r="N247" s="25">
        <v>1512863</v>
      </c>
      <c r="O247" s="25">
        <v>1860826</v>
      </c>
      <c r="P247" s="25"/>
      <c r="Q247" s="25"/>
      <c r="R247" s="25"/>
      <c r="S247" s="25">
        <v>4716250</v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>
        <f>SUM(D247:AD247)</f>
        <v>23754699</v>
      </c>
    </row>
    <row r="248" spans="1:31" ht="45.75" customHeight="1">
      <c r="A248" s="5" t="s">
        <v>481</v>
      </c>
      <c r="B248" s="5" t="s">
        <v>482</v>
      </c>
      <c r="C248" s="25"/>
      <c r="D248" s="25"/>
      <c r="E248" s="25">
        <f>2902.8+26125.2+7686</f>
        <v>36714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>
        <f>SUM(C248:AD248)</f>
        <v>36714</v>
      </c>
    </row>
    <row r="249" spans="1:31" ht="36" customHeight="1">
      <c r="A249" s="5" t="s">
        <v>483</v>
      </c>
      <c r="B249" s="5" t="s">
        <v>484</v>
      </c>
      <c r="C249" s="25"/>
      <c r="D249" s="25"/>
      <c r="E249" s="25">
        <f>63930+51245</f>
        <v>115175</v>
      </c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>
        <f>SUM(C249:AD249)</f>
        <v>115175</v>
      </c>
    </row>
    <row r="250" spans="1:31" ht="30" customHeight="1">
      <c r="A250" s="5" t="s">
        <v>475</v>
      </c>
      <c r="B250" s="5" t="s">
        <v>476</v>
      </c>
      <c r="C250" s="25"/>
      <c r="D250" s="25"/>
      <c r="E250" s="25">
        <v>23428</v>
      </c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>
        <f>SUM(C250:AD250)</f>
        <v>23428</v>
      </c>
    </row>
    <row r="251" spans="1:31" ht="12.75">
      <c r="A251" s="3"/>
      <c r="B251" s="3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>
        <f>SUM(C251:AD251)</f>
        <v>0</v>
      </c>
    </row>
    <row r="252" spans="1:31" ht="12.75">
      <c r="A252" s="18" t="s">
        <v>213</v>
      </c>
      <c r="B252" s="4"/>
      <c r="C252" s="33">
        <f>SUM(C254:C263)</f>
        <v>0</v>
      </c>
      <c r="D252" s="33">
        <f aca="true" t="shared" si="27" ref="D252:AE252">SUM(D254:D263)</f>
        <v>0</v>
      </c>
      <c r="E252" s="33">
        <f t="shared" si="27"/>
        <v>16535547</v>
      </c>
      <c r="F252" s="33">
        <f t="shared" si="27"/>
        <v>0</v>
      </c>
      <c r="G252" s="33">
        <f t="shared" si="27"/>
        <v>15648982</v>
      </c>
      <c r="H252" s="33">
        <f t="shared" si="27"/>
        <v>0</v>
      </c>
      <c r="I252" s="33">
        <f t="shared" si="27"/>
        <v>0</v>
      </c>
      <c r="J252" s="33">
        <f t="shared" si="27"/>
        <v>0</v>
      </c>
      <c r="K252" s="33">
        <f t="shared" si="27"/>
        <v>0</v>
      </c>
      <c r="L252" s="33">
        <f t="shared" si="27"/>
        <v>0</v>
      </c>
      <c r="M252" s="33">
        <f t="shared" si="27"/>
        <v>0</v>
      </c>
      <c r="N252" s="33">
        <f t="shared" si="27"/>
        <v>0</v>
      </c>
      <c r="O252" s="33">
        <f t="shared" si="27"/>
        <v>353919.01</v>
      </c>
      <c r="P252" s="33">
        <f t="shared" si="27"/>
        <v>0</v>
      </c>
      <c r="Q252" s="33">
        <f t="shared" si="27"/>
        <v>0</v>
      </c>
      <c r="R252" s="33">
        <f t="shared" si="27"/>
        <v>106709.4</v>
      </c>
      <c r="S252" s="33">
        <f t="shared" si="27"/>
        <v>4220640</v>
      </c>
      <c r="T252" s="33">
        <f t="shared" si="27"/>
        <v>0</v>
      </c>
      <c r="U252" s="33">
        <f t="shared" si="27"/>
        <v>0</v>
      </c>
      <c r="V252" s="33">
        <f t="shared" si="27"/>
        <v>0</v>
      </c>
      <c r="W252" s="33">
        <f t="shared" si="27"/>
        <v>0</v>
      </c>
      <c r="X252" s="33">
        <f t="shared" si="27"/>
        <v>0</v>
      </c>
      <c r="Y252" s="33">
        <f t="shared" si="27"/>
        <v>0</v>
      </c>
      <c r="Z252" s="33">
        <f t="shared" si="27"/>
        <v>5171335</v>
      </c>
      <c r="AA252" s="33">
        <f t="shared" si="27"/>
        <v>0</v>
      </c>
      <c r="AB252" s="33">
        <f t="shared" si="27"/>
        <v>5100117</v>
      </c>
      <c r="AC252" s="33">
        <f t="shared" si="27"/>
        <v>0</v>
      </c>
      <c r="AD252" s="33">
        <f t="shared" si="27"/>
        <v>91954</v>
      </c>
      <c r="AE252" s="33">
        <f t="shared" si="27"/>
        <v>47229203.41</v>
      </c>
    </row>
    <row r="253" spans="1:31" ht="12.75">
      <c r="A253" s="4"/>
      <c r="B253" s="4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>
        <f aca="true" t="shared" si="28" ref="AE253:AE264">SUM(C253:AD253)</f>
        <v>0</v>
      </c>
    </row>
    <row r="254" spans="1:31" ht="12.75">
      <c r="A254" s="5" t="s">
        <v>206</v>
      </c>
      <c r="B254" s="5" t="s">
        <v>205</v>
      </c>
      <c r="C254" s="25"/>
      <c r="D254" s="25"/>
      <c r="E254" s="25">
        <v>5953968</v>
      </c>
      <c r="F254" s="25"/>
      <c r="G254" s="25">
        <v>5840470</v>
      </c>
      <c r="H254" s="25"/>
      <c r="I254" s="25"/>
      <c r="J254" s="25"/>
      <c r="K254" s="25"/>
      <c r="L254" s="25"/>
      <c r="M254" s="25"/>
      <c r="N254" s="25"/>
      <c r="O254" s="25">
        <v>353919.01</v>
      </c>
      <c r="P254" s="25"/>
      <c r="Q254" s="25"/>
      <c r="R254" s="25">
        <v>102212.4</v>
      </c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>
        <f t="shared" si="28"/>
        <v>12250569.41</v>
      </c>
    </row>
    <row r="255" spans="1:31" ht="21">
      <c r="A255" s="5" t="s">
        <v>208</v>
      </c>
      <c r="B255" s="5" t="s">
        <v>207</v>
      </c>
      <c r="C255" s="25"/>
      <c r="D255" s="25"/>
      <c r="E255" s="25">
        <v>4893643</v>
      </c>
      <c r="F255" s="25"/>
      <c r="G255" s="25">
        <v>8497221</v>
      </c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>
        <v>4497</v>
      </c>
      <c r="S255" s="25"/>
      <c r="T255" s="25"/>
      <c r="U255" s="25"/>
      <c r="V255" s="25"/>
      <c r="W255" s="25"/>
      <c r="X255" s="25"/>
      <c r="Y255" s="25"/>
      <c r="Z255" s="25">
        <v>5171335</v>
      </c>
      <c r="AA255" s="25"/>
      <c r="AB255" s="25">
        <f>376043.2+3384388.8+1339685</f>
        <v>5100117</v>
      </c>
      <c r="AC255" s="25"/>
      <c r="AD255" s="25"/>
      <c r="AE255" s="25">
        <f t="shared" si="28"/>
        <v>23666813</v>
      </c>
    </row>
    <row r="256" spans="1:31" ht="21">
      <c r="A256" s="5" t="s">
        <v>415</v>
      </c>
      <c r="B256" s="5" t="s">
        <v>416</v>
      </c>
      <c r="C256" s="25"/>
      <c r="D256" s="25"/>
      <c r="E256" s="25">
        <v>1177371</v>
      </c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>
        <f t="shared" si="28"/>
        <v>1177371</v>
      </c>
    </row>
    <row r="257" spans="1:31" ht="12.75">
      <c r="A257" s="5" t="s">
        <v>210</v>
      </c>
      <c r="B257" s="5" t="s">
        <v>209</v>
      </c>
      <c r="C257" s="25"/>
      <c r="D257" s="25"/>
      <c r="E257" s="25">
        <v>9875</v>
      </c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>
        <f t="shared" si="28"/>
        <v>9875</v>
      </c>
    </row>
    <row r="258" spans="1:31" ht="12.75">
      <c r="A258" s="5" t="s">
        <v>417</v>
      </c>
      <c r="B258" s="5" t="s">
        <v>418</v>
      </c>
      <c r="C258" s="25"/>
      <c r="D258" s="25"/>
      <c r="F258" s="25"/>
      <c r="G258" s="25">
        <v>1311291</v>
      </c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>
        <f t="shared" si="28"/>
        <v>1311291</v>
      </c>
    </row>
    <row r="259" spans="1:31" ht="12.75">
      <c r="A259" s="5" t="s">
        <v>419</v>
      </c>
      <c r="B259" s="5" t="s">
        <v>420</v>
      </c>
      <c r="C259" s="25"/>
      <c r="D259" s="25"/>
      <c r="E259" s="25">
        <f>72719.7+654477.3</f>
        <v>727197</v>
      </c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>
        <f t="shared" si="28"/>
        <v>727197</v>
      </c>
    </row>
    <row r="260" spans="1:31" ht="12.75">
      <c r="A260" s="5" t="s">
        <v>505</v>
      </c>
      <c r="B260" s="5" t="s">
        <v>506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>
        <v>91954</v>
      </c>
      <c r="AE260" s="25">
        <f t="shared" si="28"/>
        <v>91954</v>
      </c>
    </row>
    <row r="261" spans="1:31" ht="12.75">
      <c r="A261" s="5" t="s">
        <v>421</v>
      </c>
      <c r="B261" s="5" t="s">
        <v>422</v>
      </c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>
        <v>4220640</v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>
        <f t="shared" si="28"/>
        <v>4220640</v>
      </c>
    </row>
    <row r="262" spans="1:31" ht="12.75">
      <c r="A262" s="5" t="s">
        <v>212</v>
      </c>
      <c r="B262" s="5" t="s">
        <v>211</v>
      </c>
      <c r="C262" s="25"/>
      <c r="D262" s="25"/>
      <c r="E262" s="25">
        <v>3706874</v>
      </c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>
        <f t="shared" si="28"/>
        <v>3706874</v>
      </c>
    </row>
    <row r="263" spans="1:31" ht="12.75">
      <c r="A263" s="5" t="s">
        <v>423</v>
      </c>
      <c r="B263" s="5" t="s">
        <v>424</v>
      </c>
      <c r="C263" s="25"/>
      <c r="D263" s="25"/>
      <c r="E263" s="25">
        <v>66619</v>
      </c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>
        <f t="shared" si="28"/>
        <v>66619</v>
      </c>
    </row>
    <row r="264" spans="1:31" ht="12.75">
      <c r="A264" s="3"/>
      <c r="B264" s="3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>
        <f t="shared" si="28"/>
        <v>0</v>
      </c>
    </row>
    <row r="265" spans="1:31" ht="12.75">
      <c r="A265" s="18" t="s">
        <v>224</v>
      </c>
      <c r="B265" s="4"/>
      <c r="C265" s="33">
        <f>SUM(C267:C276)</f>
        <v>0</v>
      </c>
      <c r="D265" s="33">
        <f aca="true" t="shared" si="29" ref="D265:AE265">SUM(D267:D276)</f>
        <v>0</v>
      </c>
      <c r="E265" s="33">
        <f t="shared" si="29"/>
        <v>39564367</v>
      </c>
      <c r="F265" s="33">
        <f t="shared" si="29"/>
        <v>0</v>
      </c>
      <c r="G265" s="33">
        <f t="shared" si="29"/>
        <v>35381541</v>
      </c>
      <c r="H265" s="33">
        <f t="shared" si="29"/>
        <v>469000</v>
      </c>
      <c r="I265" s="33">
        <f t="shared" si="29"/>
        <v>0</v>
      </c>
      <c r="J265" s="33">
        <f t="shared" si="29"/>
        <v>0</v>
      </c>
      <c r="K265" s="33">
        <f t="shared" si="29"/>
        <v>11263701</v>
      </c>
      <c r="L265" s="33">
        <f t="shared" si="29"/>
        <v>0</v>
      </c>
      <c r="M265" s="33">
        <f t="shared" si="29"/>
        <v>0</v>
      </c>
      <c r="N265" s="33">
        <f t="shared" si="29"/>
        <v>3027873</v>
      </c>
      <c r="O265" s="33">
        <f t="shared" si="29"/>
        <v>19922790</v>
      </c>
      <c r="P265" s="33">
        <f t="shared" si="29"/>
        <v>0</v>
      </c>
      <c r="Q265" s="33">
        <f t="shared" si="29"/>
        <v>630305</v>
      </c>
      <c r="R265" s="33">
        <f t="shared" si="29"/>
        <v>24092990.1</v>
      </c>
      <c r="S265" s="33">
        <f t="shared" si="29"/>
        <v>17795550</v>
      </c>
      <c r="T265" s="33">
        <f t="shared" si="29"/>
        <v>0</v>
      </c>
      <c r="U265" s="33">
        <f t="shared" si="29"/>
        <v>148800</v>
      </c>
      <c r="V265" s="33">
        <f t="shared" si="29"/>
        <v>0</v>
      </c>
      <c r="W265" s="33">
        <f t="shared" si="29"/>
        <v>2200952.63</v>
      </c>
      <c r="X265" s="33">
        <f t="shared" si="29"/>
        <v>2776910</v>
      </c>
      <c r="Y265" s="33">
        <f t="shared" si="29"/>
        <v>0</v>
      </c>
      <c r="Z265" s="33">
        <f t="shared" si="29"/>
        <v>0</v>
      </c>
      <c r="AA265" s="33">
        <f t="shared" si="29"/>
        <v>0</v>
      </c>
      <c r="AB265" s="33">
        <f t="shared" si="29"/>
        <v>0</v>
      </c>
      <c r="AC265" s="33">
        <f t="shared" si="29"/>
        <v>0</v>
      </c>
      <c r="AD265" s="33">
        <f t="shared" si="29"/>
        <v>0</v>
      </c>
      <c r="AE265" s="33">
        <f t="shared" si="29"/>
        <v>157274779.73000002</v>
      </c>
    </row>
    <row r="266" spans="1:31" ht="12.75">
      <c r="A266" s="4"/>
      <c r="B266" s="4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>
        <f aca="true" t="shared" si="30" ref="AE266:AE277">SUM(C266:AD266)</f>
        <v>0</v>
      </c>
    </row>
    <row r="267" spans="1:31" ht="12.75">
      <c r="A267" s="5" t="s">
        <v>425</v>
      </c>
      <c r="B267" s="5" t="s">
        <v>426</v>
      </c>
      <c r="C267" s="25"/>
      <c r="D267" s="25"/>
      <c r="E267" s="25">
        <v>7998611</v>
      </c>
      <c r="F267" s="25"/>
      <c r="G267" s="25">
        <v>10638133</v>
      </c>
      <c r="H267" s="25"/>
      <c r="I267" s="25"/>
      <c r="J267" s="25"/>
      <c r="K267" s="25"/>
      <c r="L267" s="25"/>
      <c r="M267" s="25"/>
      <c r="N267" s="25"/>
      <c r="O267" s="25">
        <v>13793548</v>
      </c>
      <c r="P267" s="25"/>
      <c r="Q267" s="25"/>
      <c r="R267" s="25"/>
      <c r="S267" s="25">
        <v>5760000</v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>
        <f t="shared" si="30"/>
        <v>38190292</v>
      </c>
    </row>
    <row r="268" spans="1:31" ht="12.75">
      <c r="A268" s="5" t="s">
        <v>215</v>
      </c>
      <c r="B268" s="5" t="s">
        <v>214</v>
      </c>
      <c r="C268" s="25"/>
      <c r="D268" s="25"/>
      <c r="E268" s="25">
        <v>12565964</v>
      </c>
      <c r="F268" s="25"/>
      <c r="G268" s="25">
        <v>13100236</v>
      </c>
      <c r="H268" s="25">
        <v>469000</v>
      </c>
      <c r="I268" s="25"/>
      <c r="J268" s="25"/>
      <c r="K268" s="25"/>
      <c r="L268" s="25"/>
      <c r="M268" s="25"/>
      <c r="N268" s="25">
        <f>686439+1055788</f>
        <v>1742227</v>
      </c>
      <c r="O268" s="25"/>
      <c r="P268" s="25"/>
      <c r="Q268" s="25">
        <v>630305</v>
      </c>
      <c r="R268" s="25"/>
      <c r="S268" s="25">
        <f>656356+5907194</f>
        <v>6563550</v>
      </c>
      <c r="T268" s="25"/>
      <c r="U268" s="25"/>
      <c r="V268" s="25"/>
      <c r="W268" s="25"/>
      <c r="X268" s="25">
        <v>2776910</v>
      </c>
      <c r="Y268" s="25"/>
      <c r="Z268" s="25"/>
      <c r="AA268" s="25"/>
      <c r="AB268" s="25"/>
      <c r="AC268" s="25"/>
      <c r="AD268" s="25"/>
      <c r="AE268" s="25">
        <f t="shared" si="30"/>
        <v>37848192</v>
      </c>
    </row>
    <row r="269" spans="1:31" ht="12.75">
      <c r="A269" s="5" t="s">
        <v>217</v>
      </c>
      <c r="B269" s="5" t="s">
        <v>216</v>
      </c>
      <c r="C269" s="25"/>
      <c r="D269" s="25"/>
      <c r="E269" s="25">
        <f>99064.3+891578.7+307473</f>
        <v>1298116</v>
      </c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>
        <f t="shared" si="30"/>
        <v>1298116</v>
      </c>
    </row>
    <row r="270" spans="1:31" ht="12.75">
      <c r="A270" s="5" t="s">
        <v>427</v>
      </c>
      <c r="B270" s="5" t="s">
        <v>428</v>
      </c>
      <c r="C270" s="25"/>
      <c r="D270" s="25"/>
      <c r="E270" s="25">
        <v>7038718</v>
      </c>
      <c r="F270" s="25"/>
      <c r="G270" s="25">
        <v>2787897</v>
      </c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>
        <f t="shared" si="30"/>
        <v>9826615</v>
      </c>
    </row>
    <row r="271" spans="1:31" ht="12.75">
      <c r="A271" s="5" t="s">
        <v>219</v>
      </c>
      <c r="B271" s="5" t="s">
        <v>218</v>
      </c>
      <c r="C271" s="25"/>
      <c r="D271" s="25"/>
      <c r="E271" s="25"/>
      <c r="F271" s="25"/>
      <c r="G271" s="25"/>
      <c r="H271" s="25"/>
      <c r="I271" s="25"/>
      <c r="J271" s="25"/>
      <c r="K271" s="25">
        <v>3218200</v>
      </c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>
        <f t="shared" si="30"/>
        <v>3218200</v>
      </c>
    </row>
    <row r="272" spans="1:31" ht="12.75">
      <c r="A272" s="5" t="s">
        <v>221</v>
      </c>
      <c r="B272" s="5" t="s">
        <v>220</v>
      </c>
      <c r="C272" s="25"/>
      <c r="D272" s="25"/>
      <c r="E272" s="25">
        <v>1827763</v>
      </c>
      <c r="F272" s="25"/>
      <c r="G272" s="25"/>
      <c r="H272" s="25"/>
      <c r="I272" s="25"/>
      <c r="J272" s="25"/>
      <c r="K272" s="25">
        <v>8045501</v>
      </c>
      <c r="L272" s="25"/>
      <c r="M272" s="25"/>
      <c r="N272" s="25">
        <v>1285646</v>
      </c>
      <c r="O272" s="25"/>
      <c r="P272" s="25"/>
      <c r="Q272" s="25"/>
      <c r="R272" s="25">
        <v>17867737.1</v>
      </c>
      <c r="S272" s="25"/>
      <c r="T272" s="25"/>
      <c r="U272" s="25">
        <v>148800</v>
      </c>
      <c r="V272" s="25"/>
      <c r="W272" s="25">
        <v>2200952.63</v>
      </c>
      <c r="X272" s="25"/>
      <c r="Y272" s="25"/>
      <c r="Z272" s="25"/>
      <c r="AA272" s="25"/>
      <c r="AB272" s="25"/>
      <c r="AC272" s="25"/>
      <c r="AD272" s="25"/>
      <c r="AE272" s="25">
        <f t="shared" si="30"/>
        <v>31376399.73</v>
      </c>
    </row>
    <row r="273" spans="1:31" ht="12.75">
      <c r="A273" s="5" t="s">
        <v>223</v>
      </c>
      <c r="B273" s="5" t="s">
        <v>222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35"/>
      <c r="R273" s="25">
        <v>6225253</v>
      </c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>
        <f t="shared" si="30"/>
        <v>6225253</v>
      </c>
    </row>
    <row r="274" spans="1:31" ht="21">
      <c r="A274" s="5" t="s">
        <v>429</v>
      </c>
      <c r="B274" s="5" t="s">
        <v>430</v>
      </c>
      <c r="C274" s="25"/>
      <c r="D274" s="25"/>
      <c r="E274" s="25">
        <v>3699830</v>
      </c>
      <c r="F274" s="25"/>
      <c r="G274" s="25">
        <v>5900590</v>
      </c>
      <c r="H274" s="25"/>
      <c r="I274" s="25"/>
      <c r="J274" s="25"/>
      <c r="K274" s="25"/>
      <c r="L274" s="25"/>
      <c r="M274" s="25"/>
      <c r="N274" s="25"/>
      <c r="O274" s="25">
        <v>273924</v>
      </c>
      <c r="P274" s="25"/>
      <c r="Q274" s="35"/>
      <c r="R274" s="25"/>
      <c r="S274" s="25">
        <v>3852000</v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>
        <f t="shared" si="30"/>
        <v>13726344</v>
      </c>
    </row>
    <row r="275" spans="1:31" ht="12.75">
      <c r="A275" s="5" t="s">
        <v>431</v>
      </c>
      <c r="B275" s="5" t="s">
        <v>432</v>
      </c>
      <c r="C275" s="25"/>
      <c r="D275" s="25"/>
      <c r="E275" s="25">
        <v>5135365</v>
      </c>
      <c r="F275" s="25"/>
      <c r="G275" s="25">
        <v>2386125</v>
      </c>
      <c r="H275" s="25"/>
      <c r="I275" s="25"/>
      <c r="J275" s="25"/>
      <c r="K275" s="25"/>
      <c r="L275" s="25"/>
      <c r="M275" s="25"/>
      <c r="N275" s="25"/>
      <c r="O275" s="25">
        <v>5855318</v>
      </c>
      <c r="P275" s="25"/>
      <c r="Q275" s="25"/>
      <c r="R275" s="25"/>
      <c r="S275" s="25">
        <v>1620000</v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>
        <f t="shared" si="30"/>
        <v>14996808</v>
      </c>
    </row>
    <row r="276" spans="1:31" ht="12.75">
      <c r="A276" s="5" t="s">
        <v>433</v>
      </c>
      <c r="B276" s="5" t="s">
        <v>434</v>
      </c>
      <c r="C276" s="25"/>
      <c r="D276" s="25"/>
      <c r="E276" s="25"/>
      <c r="F276" s="25"/>
      <c r="G276" s="25">
        <v>568560</v>
      </c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>
        <f t="shared" si="30"/>
        <v>568560</v>
      </c>
    </row>
    <row r="277" spans="1:31" ht="12.75">
      <c r="A277" s="3"/>
      <c r="B277" s="3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>
        <f t="shared" si="30"/>
        <v>0</v>
      </c>
    </row>
    <row r="278" spans="1:31" ht="12.75">
      <c r="A278" s="18" t="s">
        <v>435</v>
      </c>
      <c r="B278" s="4"/>
      <c r="C278" s="33">
        <f>SUM(C279:C284)</f>
        <v>0</v>
      </c>
      <c r="D278" s="33">
        <f aca="true" t="shared" si="31" ref="D278:AE278">SUM(D279:D284)</f>
        <v>0</v>
      </c>
      <c r="E278" s="33">
        <f t="shared" si="31"/>
        <v>0</v>
      </c>
      <c r="F278" s="33">
        <f t="shared" si="31"/>
        <v>0</v>
      </c>
      <c r="G278" s="33">
        <f t="shared" si="31"/>
        <v>0</v>
      </c>
      <c r="H278" s="33">
        <f t="shared" si="31"/>
        <v>0</v>
      </c>
      <c r="I278" s="33">
        <f t="shared" si="31"/>
        <v>0</v>
      </c>
      <c r="J278" s="33">
        <f t="shared" si="31"/>
        <v>0</v>
      </c>
      <c r="K278" s="33">
        <f t="shared" si="31"/>
        <v>0</v>
      </c>
      <c r="L278" s="33">
        <f t="shared" si="31"/>
        <v>0</v>
      </c>
      <c r="M278" s="33">
        <f t="shared" si="31"/>
        <v>0</v>
      </c>
      <c r="N278" s="33">
        <f t="shared" si="31"/>
        <v>0</v>
      </c>
      <c r="O278" s="33">
        <f t="shared" si="31"/>
        <v>0</v>
      </c>
      <c r="P278" s="33">
        <f t="shared" si="31"/>
        <v>0</v>
      </c>
      <c r="Q278" s="33">
        <f t="shared" si="31"/>
        <v>0</v>
      </c>
      <c r="R278" s="33">
        <f t="shared" si="31"/>
        <v>0</v>
      </c>
      <c r="S278" s="33">
        <f t="shared" si="31"/>
        <v>0</v>
      </c>
      <c r="T278" s="33">
        <f t="shared" si="31"/>
        <v>635418</v>
      </c>
      <c r="U278" s="33">
        <f t="shared" si="31"/>
        <v>0</v>
      </c>
      <c r="V278" s="33">
        <f t="shared" si="31"/>
        <v>409800</v>
      </c>
      <c r="W278" s="33">
        <f t="shared" si="31"/>
        <v>0</v>
      </c>
      <c r="X278" s="33">
        <f t="shared" si="31"/>
        <v>0</v>
      </c>
      <c r="Y278" s="33">
        <f t="shared" si="31"/>
        <v>0</v>
      </c>
      <c r="Z278" s="33">
        <f t="shared" si="31"/>
        <v>0</v>
      </c>
      <c r="AA278" s="33">
        <f t="shared" si="31"/>
        <v>0</v>
      </c>
      <c r="AB278" s="33">
        <f t="shared" si="31"/>
        <v>0</v>
      </c>
      <c r="AC278" s="33">
        <f t="shared" si="31"/>
        <v>0</v>
      </c>
      <c r="AD278" s="33">
        <f t="shared" si="31"/>
        <v>183908</v>
      </c>
      <c r="AE278" s="33">
        <f t="shared" si="31"/>
        <v>1229126</v>
      </c>
    </row>
    <row r="279" spans="1:31" ht="12.75">
      <c r="A279" s="5" t="s">
        <v>501</v>
      </c>
      <c r="B279" s="5" t="s">
        <v>502</v>
      </c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>
        <f>99900+99900</f>
        <v>199800</v>
      </c>
      <c r="W279" s="25"/>
      <c r="X279" s="25"/>
      <c r="Y279" s="25"/>
      <c r="Z279" s="25"/>
      <c r="AA279" s="25"/>
      <c r="AB279" s="25"/>
      <c r="AC279" s="25"/>
      <c r="AD279" s="25"/>
      <c r="AE279" s="25">
        <f aca="true" t="shared" si="32" ref="AE279:AE285">SUM(C279:AD279)</f>
        <v>199800</v>
      </c>
    </row>
    <row r="280" spans="1:31" ht="12.75">
      <c r="A280" s="5" t="s">
        <v>507</v>
      </c>
      <c r="B280" s="5" t="s">
        <v>508</v>
      </c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>
        <v>91954</v>
      </c>
      <c r="AE280" s="25">
        <f t="shared" si="32"/>
        <v>91954</v>
      </c>
    </row>
    <row r="281" spans="1:31" ht="12.75">
      <c r="A281" s="5" t="s">
        <v>491</v>
      </c>
      <c r="B281" s="5" t="s">
        <v>492</v>
      </c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>
        <v>91954</v>
      </c>
      <c r="AE281" s="25">
        <f t="shared" si="32"/>
        <v>91954</v>
      </c>
    </row>
    <row r="282" spans="1:31" ht="21">
      <c r="A282" s="5" t="s">
        <v>436</v>
      </c>
      <c r="B282" s="5" t="s">
        <v>437</v>
      </c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>
        <v>100000</v>
      </c>
      <c r="W282" s="25"/>
      <c r="X282" s="25"/>
      <c r="Y282" s="25"/>
      <c r="Z282" s="25"/>
      <c r="AA282" s="25"/>
      <c r="AB282" s="25"/>
      <c r="AC282" s="25"/>
      <c r="AD282" s="25"/>
      <c r="AE282" s="25">
        <f t="shared" si="32"/>
        <v>100000</v>
      </c>
    </row>
    <row r="283" spans="1:31" ht="12.75">
      <c r="A283" s="5" t="s">
        <v>438</v>
      </c>
      <c r="B283" s="5" t="s">
        <v>439</v>
      </c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>
        <v>635418</v>
      </c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>
        <f t="shared" si="32"/>
        <v>635418</v>
      </c>
    </row>
    <row r="284" spans="1:31" ht="21">
      <c r="A284" s="5" t="s">
        <v>440</v>
      </c>
      <c r="B284" s="5" t="s">
        <v>441</v>
      </c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>
        <v>110000</v>
      </c>
      <c r="W284" s="25"/>
      <c r="X284" s="25"/>
      <c r="Y284" s="25"/>
      <c r="Z284" s="25"/>
      <c r="AA284" s="25"/>
      <c r="AB284" s="25"/>
      <c r="AC284" s="25"/>
      <c r="AD284" s="25"/>
      <c r="AE284" s="25">
        <f t="shared" si="32"/>
        <v>110000</v>
      </c>
    </row>
    <row r="285" spans="1:31" ht="13.5" thickBot="1">
      <c r="A285" s="7"/>
      <c r="B285" s="7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>
        <f t="shared" si="32"/>
        <v>0</v>
      </c>
    </row>
    <row r="286" spans="1:31" ht="13.5" thickBot="1">
      <c r="A286" s="19" t="s">
        <v>136</v>
      </c>
      <c r="B286" s="8"/>
      <c r="C286" s="33">
        <f aca="true" t="shared" si="33" ref="C286:AE286">SUM(C12:C284)/2</f>
        <v>4780201</v>
      </c>
      <c r="D286" s="33">
        <f t="shared" si="33"/>
        <v>4000715</v>
      </c>
      <c r="E286" s="33">
        <f t="shared" si="33"/>
        <v>622406960</v>
      </c>
      <c r="F286" s="33">
        <f t="shared" si="33"/>
        <v>7827647</v>
      </c>
      <c r="G286" s="33">
        <f t="shared" si="33"/>
        <v>566586186</v>
      </c>
      <c r="H286" s="33">
        <f t="shared" si="33"/>
        <v>106467000</v>
      </c>
      <c r="I286" s="33">
        <f t="shared" si="33"/>
        <v>1920000</v>
      </c>
      <c r="J286" s="33">
        <f t="shared" si="33"/>
        <v>1773452</v>
      </c>
      <c r="K286" s="33">
        <f t="shared" si="33"/>
        <v>12924000</v>
      </c>
      <c r="L286" s="33">
        <f t="shared" si="33"/>
        <v>171619</v>
      </c>
      <c r="M286" s="33">
        <f t="shared" si="33"/>
        <v>1866490.32</v>
      </c>
      <c r="N286" s="33">
        <f t="shared" si="33"/>
        <v>102250750</v>
      </c>
      <c r="O286" s="33">
        <f t="shared" si="33"/>
        <v>457643906.59</v>
      </c>
      <c r="P286" s="33">
        <f t="shared" si="33"/>
        <v>63856740</v>
      </c>
      <c r="Q286" s="33">
        <f t="shared" si="33"/>
        <v>16836802.86</v>
      </c>
      <c r="R286" s="33">
        <f t="shared" si="33"/>
        <v>169305417.38</v>
      </c>
      <c r="S286" s="33">
        <f t="shared" si="33"/>
        <v>298481322</v>
      </c>
      <c r="T286" s="33">
        <f t="shared" si="33"/>
        <v>635418</v>
      </c>
      <c r="U286" s="33">
        <f t="shared" si="33"/>
        <v>276800</v>
      </c>
      <c r="V286" s="33">
        <f t="shared" si="33"/>
        <v>409800</v>
      </c>
      <c r="W286" s="33">
        <f t="shared" si="33"/>
        <v>8708752.629999999</v>
      </c>
      <c r="X286" s="33">
        <f t="shared" si="33"/>
        <v>89493446</v>
      </c>
      <c r="Y286" s="33">
        <f t="shared" si="33"/>
        <v>0</v>
      </c>
      <c r="Z286" s="33">
        <f t="shared" si="33"/>
        <v>20046810</v>
      </c>
      <c r="AA286" s="33">
        <f t="shared" si="33"/>
        <v>902820</v>
      </c>
      <c r="AB286" s="33">
        <f t="shared" si="33"/>
        <v>23571404</v>
      </c>
      <c r="AC286" s="33">
        <f t="shared" si="33"/>
        <v>2834057</v>
      </c>
      <c r="AD286" s="33">
        <f t="shared" si="33"/>
        <v>1103448</v>
      </c>
      <c r="AE286" s="33">
        <f t="shared" si="33"/>
        <v>2587025536.7799997</v>
      </c>
    </row>
  </sheetData>
  <sheetProtection/>
  <autoFilter ref="A10:BS10"/>
  <mergeCells count="2">
    <mergeCell ref="A1:M1"/>
    <mergeCell ref="A2:M2"/>
  </mergeCells>
  <printOptions/>
  <pageMargins left="0.2362204724409449" right="0.2362204724409449" top="0.35433070866141736" bottom="0.35433070866141736" header="0.31496062992125984" footer="0.11811023622047245"/>
  <pageSetup horizontalDpi="600" verticalDpi="600" orientation="landscape" pageOrder="overThenDown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Кульчицкая</cp:lastModifiedBy>
  <cp:lastPrinted>2017-07-31T11:17:38Z</cp:lastPrinted>
  <dcterms:created xsi:type="dcterms:W3CDTF">2006-08-25T09:40:47Z</dcterms:created>
  <dcterms:modified xsi:type="dcterms:W3CDTF">2022-10-11T08:50:31Z</dcterms:modified>
  <cp:category/>
  <cp:version/>
  <cp:contentType/>
  <cp:contentStatus/>
</cp:coreProperties>
</file>