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05" windowWidth="25185" windowHeight="13635" activeTab="0"/>
  </bookViews>
  <sheets>
    <sheet name="Перечень" sheetId="1" r:id="rId1"/>
  </sheets>
  <definedNames>
    <definedName name="a" localSheetId="0">'Перечень'!$17:$17</definedName>
    <definedName name="b" localSheetId="0">'Перечень'!$A$7:$K$678</definedName>
    <definedName name="BossProviderVariable?_86c7d431_7d19_496a_8804_97f3f2be1a8c" hidden="1">"25_01_2006"</definedName>
    <definedName name="_xlnm.Print_Titles" localSheetId="0">'Перечень'!$14:$17</definedName>
    <definedName name="_xlnm.Print_Area" localSheetId="0">'Перечень'!$A$3:$K$684</definedName>
  </definedNames>
  <calcPr fullCalcOnLoad="1"/>
</workbook>
</file>

<file path=xl/sharedStrings.xml><?xml version="1.0" encoding="utf-8"?>
<sst xmlns="http://schemas.openxmlformats.org/spreadsheetml/2006/main" count="1180" uniqueCount="582">
  <si>
    <t>11,8 км и 500 куб. м/сутки</t>
  </si>
  <si>
    <t>Сяськелевское сельское поселение Гатчинского муниципального района</t>
  </si>
  <si>
    <t>Пудостьское сельское поселение Гатчинского муниципального района</t>
  </si>
  <si>
    <t>Ропшинское сельское поселение Ломоносовского  муниципального района</t>
  </si>
  <si>
    <t>Итого по мероприятию 2.4</t>
  </si>
  <si>
    <t xml:space="preserve">2.5.1. Финансирование строительства распределительного газопровода и газопроводов-вводов, пос.Клопицы </t>
  </si>
  <si>
    <t>6,9 км</t>
  </si>
  <si>
    <t>Форносовское городское поселение Тосненского района</t>
  </si>
  <si>
    <t>Итого по мероприятию 2.5</t>
  </si>
  <si>
    <t>Итого по мероприятию 2.6</t>
  </si>
  <si>
    <t>мероприятий подпрограммы "Устойчивое развитие сельских территорий Ленинградской области на 2014 — 2017 годы и на период до 2020 года"</t>
  </si>
  <si>
    <t>Тосненское городское поселение Тосненского района</t>
  </si>
  <si>
    <t>2.3.16. Финансирование строительства универсальной спортивной площадки, дер.Нурма</t>
  </si>
  <si>
    <t>Нурминское сельское поселение Тосненского района</t>
  </si>
  <si>
    <t>1,956 км</t>
  </si>
  <si>
    <t>8,660 км</t>
  </si>
  <si>
    <t>6,235 км</t>
  </si>
  <si>
    <t>3,630 км</t>
  </si>
  <si>
    <t>Трубникоборское сельское поселение Тосненского района</t>
  </si>
  <si>
    <t>1,3 км</t>
  </si>
  <si>
    <t>0,4 км</t>
  </si>
  <si>
    <t>Бегуницкое сельское поселение Волосовского муниципального района</t>
  </si>
  <si>
    <t>2.5.22. Финансирование строительства объекта "Газоснабжение дер.Ненимяки"</t>
  </si>
  <si>
    <t>2.5.22. Финансирование строительства объекта "Газоснабжение дер.Гарболово"</t>
  </si>
  <si>
    <t>1,5 км</t>
  </si>
  <si>
    <t>2.5.22. Финансирование строительства объекта "Наружное газоснабжение жилых домов в пос.Ромашки"</t>
  </si>
  <si>
    <t>11,1 км</t>
  </si>
  <si>
    <t>2.5.22. Финансирование строительства объекта "Наружное газоснабжение жилых домов в пос.Суходолье"</t>
  </si>
  <si>
    <t>2,1 км</t>
  </si>
  <si>
    <t>2.5.22. Финансирование строительства объекта "Распределительный газопровод пос.Громово"</t>
  </si>
  <si>
    <t>5,8 км</t>
  </si>
  <si>
    <t>2.5.22. Финансирование строительства объекта "Газоснабжение пос.Громово"</t>
  </si>
  <si>
    <t>Виллозское сельское поселение Ломоносовского муниципального района</t>
  </si>
  <si>
    <t>1,0 км</t>
  </si>
  <si>
    <t>Романовское сельское поселение Всеволожского района</t>
  </si>
  <si>
    <t>2.5.27. Финансирование строительства объекта "Подводящий и распределительный газопроводы по дер.Узигонты"</t>
  </si>
  <si>
    <t>2.5.3. Финансирование строительства газопровода высокого и низкого давления к зданию спортивного комплекса, пос.Аврово</t>
  </si>
  <si>
    <t>Терпилицкое сельское поселение Волосовского муниципального района</t>
  </si>
  <si>
    <t>Мичуринское сельское поселение Приозерского муниципального района</t>
  </si>
  <si>
    <t>Беседское сельское поселение Волосовского муниципального района</t>
  </si>
  <si>
    <t>Янегское сельское поселение Лодейнопольского муниципального района</t>
  </si>
  <si>
    <t>провода, в том числе проектные работы</t>
  </si>
  <si>
    <t>площадки, в том числе проектные работы</t>
  </si>
  <si>
    <t xml:space="preserve"> работы"</t>
  </si>
  <si>
    <t>электрических сетей, в том числе проектные работы</t>
  </si>
  <si>
    <t>в том числе проектные работы</t>
  </si>
  <si>
    <t>пункта, в том числе проектные работы</t>
  </si>
  <si>
    <t xml:space="preserve">финансирование строительства системы водоснабжения, </t>
  </si>
  <si>
    <t xml:space="preserve">финансирование  строительства универсальной </t>
  </si>
  <si>
    <t>спортивной площадки, в том числе проектные работы</t>
  </si>
  <si>
    <t>Итого по мероприятию 2.7</t>
  </si>
  <si>
    <t>Срок финанси-рования мероприя-тия (год)</t>
  </si>
  <si>
    <t>Главный распорядитель бюджетных средств</t>
  </si>
  <si>
    <t>внебюд-жетные источники</t>
  </si>
  <si>
    <t>2.2.28. Финансирование  строительства врачебной амбулаториии,  в том числе проектные работы, дер.Глебычево, Выборгский район</t>
  </si>
  <si>
    <t>Красносельское сельское поселение Выборгского района</t>
  </si>
  <si>
    <t xml:space="preserve">Всего </t>
  </si>
  <si>
    <t>Гончаровское сельское поселение Выборгского района</t>
  </si>
  <si>
    <t>Благоустрой-ство</t>
  </si>
  <si>
    <t>7940 кв.м.</t>
  </si>
  <si>
    <t>1 ед., 60 посещений в          смену</t>
  </si>
  <si>
    <t xml:space="preserve"> 1ед., 15 посещений в          смену</t>
  </si>
  <si>
    <t xml:space="preserve"> 1ед., 25 посещений в          смену</t>
  </si>
  <si>
    <t xml:space="preserve"> 1ед., 30 посещений в          смену</t>
  </si>
  <si>
    <t>1 ед., 15 посещений в          смену</t>
  </si>
  <si>
    <t>1 ед., 60 посещений в смену</t>
  </si>
  <si>
    <t>1 ед., 30 посещений в         смену</t>
  </si>
  <si>
    <t>1 ед., 30 посещений в          смену</t>
  </si>
  <si>
    <t>500 кв.м</t>
  </si>
  <si>
    <t>Книжный фонд библиотеки - 10 тыс. экз.</t>
  </si>
  <si>
    <t>Итого по мероприятиям по строительству и реконструкции объектов культуры</t>
  </si>
  <si>
    <t>500 куб. м/сутки</t>
  </si>
  <si>
    <t>500 куб.м/сутки</t>
  </si>
  <si>
    <t>10 км</t>
  </si>
  <si>
    <t>2 объекта</t>
  </si>
  <si>
    <t>2 ед.</t>
  </si>
  <si>
    <t>3 ед.</t>
  </si>
  <si>
    <t>Комитет по строительству Ленинградской области (далее - Комитет)</t>
  </si>
  <si>
    <t>Комитет общего и професси-онального образования Ленинградской области</t>
  </si>
  <si>
    <t>Комитет</t>
  </si>
  <si>
    <t xml:space="preserve">Комитет </t>
  </si>
  <si>
    <t>Комитет по ТЭК</t>
  </si>
  <si>
    <t>Комитет  по топливно-энергетичес-кому комплексу Ленинградской области (далее - Комитет по ТЭК)</t>
  </si>
  <si>
    <t>Комитет по жилищно-коммунальному хозяйству и транспорту  Ленинградской области (далее - Комитет по ЖКХ и транспорту)</t>
  </si>
  <si>
    <t>Комитет по ЖКХ и транспорту</t>
  </si>
  <si>
    <t>государственной программы Ленинградской области "Развитие сельского хозяйства Ленинградской области"</t>
  </si>
  <si>
    <t>Комитет по агропропромы-шленному и рыбохозяйствен-ному комплексу Ленинградской области (далее - Комитет по АПК)</t>
  </si>
  <si>
    <t>Комитет по АПК</t>
  </si>
  <si>
    <t>2.5.7. Финансирование строительства объекта "Газоснабжение дер.Лупполово"</t>
  </si>
  <si>
    <t>2.5.8. Финансирование строительства объекта "Газоснабжение дер.Дранишники"</t>
  </si>
  <si>
    <t>Лидское сельское поселение Бокситогорского муниципального района</t>
  </si>
  <si>
    <t>900 кв.м</t>
  </si>
  <si>
    <t>4.2. Финансирование проекта "Обустройство площадки с уличными тренажерами в дер.Торошковичи"</t>
  </si>
  <si>
    <t>2.5.3. Финансирование строительства объекта "Газопровод среднего и низкого давления к индивидуальным жилым домам № 16а,18,18a,20,20a,22,22a,24,24a  по ул.Ленинградское шоссе  и №3,5 по ул.Железнодорожная в пос.Кузьмоловский, и №26,26а,28,28а,30,32,32а по ул.Ленинградское шоссе в дер.Кузьмолово"</t>
  </si>
  <si>
    <t>Итого по мероприятию 5</t>
  </si>
  <si>
    <t>Лаголовское сельское поселение Ломоносовского муниципального района</t>
  </si>
  <si>
    <t>Ретюнское сельское поселение Лужского муниципального района</t>
  </si>
  <si>
    <t>Черновское сельское поселение Сланцевского муниципального  района</t>
  </si>
  <si>
    <t>Борское сельское поселение Тихвинского муниципального района</t>
  </si>
  <si>
    <t>Торковичское сельское поселение Лужского муниципального района</t>
  </si>
  <si>
    <t>Рабитицкое сельское поселение Волосовского муниципальнгого района</t>
  </si>
  <si>
    <t xml:space="preserve"> Самойловское сельское поселение Бокситогороского муниципального района</t>
  </si>
  <si>
    <t>Агалатовское сельское поселение Всеволожского муниципального  района</t>
  </si>
  <si>
    <t>Сясьтройское городское поселение Волховского муниципального района</t>
  </si>
  <si>
    <t>4.1. Финансирование проекта "Парк семейного отдыха в Старопольском сельском поселении", дер.Овсище</t>
  </si>
  <si>
    <t>5.2. Финансирование строительства автомобильной дороги "Подъезд к пос. Сопки" по адресу: Ленинградская область, Выборгский район, Полянское сельское поселение, подъезд к пос. Сопки</t>
  </si>
  <si>
    <t>5.5. Финансирование реконструкции автомобильной дороги "Подъезд к пос. Клеверное" по адресу: Ленинградская область, Выборгский район, Полянское сельское поселение, пос. Клеверное</t>
  </si>
  <si>
    <t>Каменногорское городское поселение Выборгского района</t>
  </si>
  <si>
    <t>5.9. Финансирование строительства автодороги "Подъезд к дер. Козарево" по адресу: Ленинградская область, Волховский район</t>
  </si>
  <si>
    <t>Волховский муниципальный район</t>
  </si>
  <si>
    <t xml:space="preserve"> 2.7.1 .Проект комплексного обустройства площадок под компактную жилищную застройку с.Алеховщина, в том числе:          финансирование строительства объекта "Сельский дом культуры со зрительным залом на 150 мест и библиотекой", в т.ч. проектные работы</t>
  </si>
  <si>
    <t>1,648 км</t>
  </si>
  <si>
    <t>0,486 км</t>
  </si>
  <si>
    <t>1,062 км</t>
  </si>
  <si>
    <t>1,094 км</t>
  </si>
  <si>
    <t>0,399 км</t>
  </si>
  <si>
    <t>7 км</t>
  </si>
  <si>
    <t>2.6.6. Финансирование объекта "Реконструкция водопроводных сетей по ул.Советская пос.Запорожское"</t>
  </si>
  <si>
    <t>2.6.15. Финансирование объекта "Строительство 2-й нитки водовода от ВОС г.Всеволожска до ВНС пос.Романовка.  Реконструкция ВНС пос.Романовка"</t>
  </si>
  <si>
    <t>Раздольевское сельское поселение Приозерского муниципального района</t>
  </si>
  <si>
    <t>2.3.6. Финансирование строительства универсальной спортивной площадки, в том числе проектные работы, пос.Беседа</t>
  </si>
  <si>
    <t>2.5.32. Финансирование строительства объекта "Газоснабжение пос.Петровское", в т.ч. проектные работы</t>
  </si>
  <si>
    <t>2.5.34. Финансирование строительства объекта "Распределительный газопровод по пос.Суходолье", в т.ч. проектные работы</t>
  </si>
  <si>
    <t>12,2 км</t>
  </si>
  <si>
    <t>3 объекта</t>
  </si>
  <si>
    <t xml:space="preserve"> Выборгский район</t>
  </si>
  <si>
    <t xml:space="preserve"> Приозерский муниципальный район</t>
  </si>
  <si>
    <t>Ганьковское сельское поселение Тихвинского муниципального района</t>
  </si>
  <si>
    <t xml:space="preserve">Комитет по дорожному хозяйству Ленинградской области (далее - КДХ) </t>
  </si>
  <si>
    <t>КДХ</t>
  </si>
  <si>
    <t>Колтушское сельское поселение Всеволожского муниципального района</t>
  </si>
  <si>
    <t>2.5.45. Финансирование строительства объекта "Распределительный газопровод дер.Княжево", в т.ч. проектные работы</t>
  </si>
  <si>
    <t>Большеврудское сельское поселение Волосовского муниципального района</t>
  </si>
  <si>
    <t>140 мест</t>
  </si>
  <si>
    <t>2.1.6. Финансирование строительства МОУ "Средняя общеобразовательная школа" на 220 мест, пос.Пустомержа</t>
  </si>
  <si>
    <t>900 мест</t>
  </si>
  <si>
    <t>1 ед., 80 посещений в смену, стационар на 4 койки  ввод 2018 г</t>
  </si>
  <si>
    <t>1 ед., 60 посещений в          смену ввод 2018 г</t>
  </si>
  <si>
    <t>1 ед., 30 посещений в          смену  ввод 2018</t>
  </si>
  <si>
    <t>1 ед., 80 посещений в смену, стационар на 4 койки  ввод 2019 г</t>
  </si>
  <si>
    <t xml:space="preserve">1 ед., 60 посещений в          смену  ввод </t>
  </si>
  <si>
    <t>6 объектов</t>
  </si>
  <si>
    <t xml:space="preserve"> 2.2.25. Финансирование  строительства фельдшерско-акушерского пункта,  в том числе проектные работы, дер.Торосово,  Волосовский муниципальный район</t>
  </si>
  <si>
    <t xml:space="preserve"> 2.2.26. Финансирование  строительства фельдшерско-акушерского пункта,  в том числе проектные работы, дер.Яльгелево, Ломоносовский муниципальный район</t>
  </si>
  <si>
    <t>2.2.27. Финансирование  строительства врачебной амбулатории,  в том числе проектные работы, дер.Войсковицы, Гатчинский муниципальный район</t>
  </si>
  <si>
    <t>2.2.28. Финансирование  строительства врачебной амбулатории,  в том числе проектные работы, дер.Толмачево, Лужский муниципальный район</t>
  </si>
  <si>
    <t>2.2.29. Финансирование  строительства фельдшерско-акушерского пункта,  в том числе проектные работы, пос.Громово, Приозерский муниципальный район</t>
  </si>
  <si>
    <t>2.3.7. Финансирование строительства универсальной спортивной площадки, в том числе проектные работы,       пос. Любань</t>
  </si>
  <si>
    <t>2.3.8. Финансирование строительства универсальной спортивной площадки, в том числе проектные работы, пос.Тарасово</t>
  </si>
  <si>
    <t>2.3.10. Финансирование строительства универсальной спортивной площадки, в том числе проектные работы, дер.Ущевицы</t>
  </si>
  <si>
    <t>2.3.11. Финансирование строительства универсальной спортивной площадки, в том числе проектные работы, c.Алеховщина</t>
  </si>
  <si>
    <t>290 мест</t>
  </si>
  <si>
    <t>18 ед. и 290 мест</t>
  </si>
  <si>
    <t xml:space="preserve">2.4.8. Финансирование капитального ремонта Дома культуры, дер.Бегуницы </t>
  </si>
  <si>
    <t xml:space="preserve">2.4.9. Финансирование капитального ремонта Дома культуры, дер.Клопицы </t>
  </si>
  <si>
    <t xml:space="preserve">2.4.10. Финансирование капитального ремонта Дома культуры, дер.Зимитицы </t>
  </si>
  <si>
    <t xml:space="preserve">2.4.11. Финансирование капитального ремонта Дома культуры, пос.Калитино </t>
  </si>
  <si>
    <t xml:space="preserve">2.4.12. Финансирование капитального ремонта Дома культуры, дер.Большая Вруда </t>
  </si>
  <si>
    <t xml:space="preserve">2.4.13. Финансирование капитального ремонта Дома культуры, дер.Большой Сабск </t>
  </si>
  <si>
    <t xml:space="preserve">2.4.14. Финансирование капитального ремонта Дома культуры, дер.Разметелево </t>
  </si>
  <si>
    <t>2.4.15. Финансирование капитального ремонта Лесколовского дома культуры, дер.Лесколово</t>
  </si>
  <si>
    <t>2.4.16. Финансирование капитального ремонта Сяськелевского информационно-досугового центра, дер. Сяськелево</t>
  </si>
  <si>
    <t>2.4.17. Финансирование капитального ремонта МБУК  "Войсковицкий центр культуры и спорта", дер.Войсковицы, в т.ч. приобретение мебели и оборудования</t>
  </si>
  <si>
    <t>2.4.18. Финансирование капитального ремонта Терволовского сельского дома культуры, пос.Терволово (филиал Пудостьского культурно-спортивного комплекса)</t>
  </si>
  <si>
    <t xml:space="preserve">2.4.19. Финансирование капитального ремонта Рейзинского сельского клуба , дер.Малое Рейзино (филиал Пудостьского культурно-спортивного комплекса) </t>
  </si>
  <si>
    <t>2.4.20. Финансирование капитального ремонта центрального сельского дома культуры, дер.Выстав</t>
  </si>
  <si>
    <t>2.4.21. Финансирование капитального ремонта Дома культуры, дер.Оржицы</t>
  </si>
  <si>
    <t xml:space="preserve">2.4.22. Финансирование капитального ремонта центра  культуры и спорта,с.Русско-Высоцкое </t>
  </si>
  <si>
    <t xml:space="preserve">2.4.23. Финансирование капитального ремонта Дома   культуры, дер.Разбегаево </t>
  </si>
  <si>
    <t>2.4.25. Финансирование капитального ремонта клуба, дер.Воноозеро</t>
  </si>
  <si>
    <t xml:space="preserve">2.4.26. Финансирование капитального ремонта социально-культурного центра, пос.Осьмино </t>
  </si>
  <si>
    <t>2.4.27. Финансирование капитального ремонта Дома культуры, пос. Волошово</t>
  </si>
  <si>
    <t>2.4.28. Финансирование капитального ремонта Дома культуры, пос. Межозерный</t>
  </si>
  <si>
    <t>2.4.29. Финансирование капитального ремонта социально-культурного центра, дер. Пехенец</t>
  </si>
  <si>
    <t>2.4.30. Финансирование капитального ремонта Дома культуры, дер.Овсище</t>
  </si>
  <si>
    <t>2.4.31. Финансирование капитального ремонта МУК "Новосельский дом русского творчества", дер.Новоселье</t>
  </si>
  <si>
    <t xml:space="preserve">2.6.2. Финансирование объекта "Реконструкция канализационных очистных сооружений пос.Каложицы, в т.ч. проектные работы" </t>
  </si>
  <si>
    <t>2.6.3. Финансирование объекта "Реконструкция  сетей водоснабжения с.Старая Ладога"</t>
  </si>
  <si>
    <t>2.6.4. Финансирование объекта "Реконструкция канализационных очистных сооружений пос.Запорожское"</t>
  </si>
  <si>
    <t>2.6.5. Финансирование строительства водопровода к малоэтажной застройке пос.Запорожское</t>
  </si>
  <si>
    <t>2.6.6. Финансирование объекта "Реконструкция канализационных очистных сооружений пос.Мельниково"</t>
  </si>
  <si>
    <t>2.6.7. Финансирование объекта "Реконструкция системы водоснабжения с.Алеховщина"</t>
  </si>
  <si>
    <t>2.6.8. Финансирование объекта "Реконструкция канализационных очистных сооружений с.Путилово, в т.ч. проектные работы"</t>
  </si>
  <si>
    <t>2.6.9. Финансирование строительства  системы водоснабжения дер.Сухое, в т.ч. проектные работы</t>
  </si>
  <si>
    <t>2.6.11. Финансирование объекта "Реконструкция канализационных очистных сооружений дер.Бегуницы, в т.ч. проектные работы"</t>
  </si>
  <si>
    <t>2.6.13. Финансирование объекта "Реконструкция системы водоснабжения в пос.Янега", в т.ч. проектные работы</t>
  </si>
  <si>
    <t>2.6.14.Финансирование объекта "Строительство 2-й нитки водовода от ВОС г.Всеволожска до ВНС пос.Романовка. Реконструкция ВНС пос.Романовка"</t>
  </si>
  <si>
    <t>2 км</t>
  </si>
  <si>
    <t>2,5 км</t>
  </si>
  <si>
    <t>14 ед.</t>
  </si>
  <si>
    <t>18 ед.</t>
  </si>
  <si>
    <t>2.3.17.Финансирование строительства универсальной спортивной площадки, в том числе проектные работы, дер.Бережки</t>
  </si>
  <si>
    <t>Бережковское сельское поселение Волховского муниципального района</t>
  </si>
  <si>
    <t>2.2.17. Финансирование  строительства фельдшерско-акушерского пункта,  в том числе проектные работы, дер.Усадище, Волховский муниципальный район</t>
  </si>
  <si>
    <t>СМР=11496,34-1572,5=9923,8</t>
  </si>
  <si>
    <t>СМР=27840,82-2940,2=24900,62</t>
  </si>
  <si>
    <t>СМР=16001,4</t>
  </si>
  <si>
    <t xml:space="preserve"> 2.2.22. Финансирование  строительства фельдшерско-акушерского пункта,  в том числе проектные работы, дер.Нурма, Тосненский район</t>
  </si>
  <si>
    <t>2.2.36. Финансирование капитального ремонта Сосновской участковой больницы, пос.Сосново</t>
  </si>
  <si>
    <t>ГБУЗ "Приозерская межрайонная больница"</t>
  </si>
  <si>
    <t>Комитет по здравоохранению Ленинградской области</t>
  </si>
  <si>
    <t>2.7.5. Проект комплексного обустройства площадок под компактную жилищную застройку, пос.Плодовое, в т.ч.:</t>
  </si>
  <si>
    <t>5970,3 кв.м</t>
  </si>
  <si>
    <t>2378,9 кв.м</t>
  </si>
  <si>
    <t>"Приложение 6 к Государственной программе…"</t>
  </si>
  <si>
    <t>Приложение 2 к приложению к настоящему постановлению</t>
  </si>
  <si>
    <t xml:space="preserve"> 2.2.21. Финансирование  строительства фельдшерско-акушерского пункта, в том числе проектные работы, дер.Хвалово, Волховский муниципальный район</t>
  </si>
  <si>
    <t xml:space="preserve">2.2.25. Финансирование  строительства фельдшерско-акушерского пункта,  в том числе проектные работы, пос.Климово, Бокситогорский муниципальный район </t>
  </si>
  <si>
    <t>2.3.1. Финансирование строительства универсальной крытой  спортивной площадки, пос. Мельниково</t>
  </si>
  <si>
    <t>2.3.2. Финансирование строительства универсальной крытого корта для городошного спорта , пос. Плодовое</t>
  </si>
  <si>
    <t>2.3.3. Финансирование  реконструкции  пришкольной спортивной площадки, в том числе проектные работы, дер.Большая Вруда</t>
  </si>
  <si>
    <t xml:space="preserve">2.3.4. Финансирование объекта "Реконструкция  универсальной спортивной площадки, с.Путилово" </t>
  </si>
  <si>
    <t xml:space="preserve">2.3.5. Финансирование  строительства универсальной спортивной площадки,пос.Волошово </t>
  </si>
  <si>
    <t>2.5.4. Финансирование строительства объекта "Распределительный газопровод, дер.Суоранда"</t>
  </si>
  <si>
    <t>2.5.5. Финансирование строительства объекта "Газопровод низкого давления", пос.Углово</t>
  </si>
  <si>
    <t>2.5.6. Финансирование строительства объекта "Распределительный газопровод, дер.Ириновка"</t>
  </si>
  <si>
    <t>2.5.9. Финансирование строительства объекта "Газоснабжение ,дер.Ненимяки", в т.ч. проектные работы</t>
  </si>
  <si>
    <t>2.5.10. Финансирование строительства объекта "Газоснабжение дер.Гарболово", в т.ч. проектные работы</t>
  </si>
  <si>
    <t>8484 кв.м</t>
  </si>
  <si>
    <t>Романовское  сельское поселение Всеволожского  муниципального района</t>
  </si>
  <si>
    <t>Колчановское сельское поселение Волховского муниципального района</t>
  </si>
  <si>
    <t>Капитальный ремонт учреждений культуры</t>
  </si>
  <si>
    <t xml:space="preserve">2.4.2. Финансирование капитального ремонта Дома культуры, пос.Совхозный </t>
  </si>
  <si>
    <t>ФБ</t>
  </si>
  <si>
    <t>ОБ</t>
  </si>
  <si>
    <t>МБ</t>
  </si>
  <si>
    <t>Кингисеппский район</t>
  </si>
  <si>
    <t xml:space="preserve">2.4.3. Финансирование капитального ремонта  Потанинского сельского дома культуры, дер.Потанино </t>
  </si>
  <si>
    <t>Потанинское сельское поселение Волховского муниципального района</t>
  </si>
  <si>
    <t xml:space="preserve">2.4.4. Финансирование капитального ремонта Кисельнинского дома культуры, дер.Кисельня </t>
  </si>
  <si>
    <t xml:space="preserve">2.2.24. Финансирование  строительства врачебной амбулатории, дер.Лаголово, в том числе проектные работы,  Ломоносовский  муниципальный район </t>
  </si>
  <si>
    <t>22125 кв.м</t>
  </si>
  <si>
    <t>2.4.7. Финансирование капитального ремонта Дома культуры, пос.Вещево</t>
  </si>
  <si>
    <t>58 км</t>
  </si>
  <si>
    <t>1 проект</t>
  </si>
  <si>
    <t>Итого по мероприятию 4</t>
  </si>
  <si>
    <t xml:space="preserve">  2014*</t>
  </si>
  <si>
    <t xml:space="preserve"> 2014*</t>
  </si>
  <si>
    <t>* - в том числе остатки средств федерального бюджета 2013 года в объеме 2059,15 тыс.руб.</t>
  </si>
  <si>
    <t>Любанское городское поселение Тосненского района</t>
  </si>
  <si>
    <t>Итого по мероприятиям по капитальному ремонту учреждений культуры</t>
  </si>
  <si>
    <t>2.5.2. Финансирование  строительства объекта "Распределительный газопровод к дер.Лисино, в том числе проектные работы"</t>
  </si>
  <si>
    <t>Дзержинское сельское поселение</t>
  </si>
  <si>
    <t>Лужского муниципального района</t>
  </si>
  <si>
    <t>финансирование строительства инженерных сетей (водоснабжение)</t>
  </si>
  <si>
    <t>5 ед.</t>
  </si>
  <si>
    <t>4 км</t>
  </si>
  <si>
    <t>4,3 км</t>
  </si>
  <si>
    <t>2822 кв.м</t>
  </si>
  <si>
    <t>строительство спортивно-оздоровительного комплекса</t>
  </si>
  <si>
    <t>(с бассейном на 40 человек)</t>
  </si>
  <si>
    <t>2.9. Мероприятия по обеспечению инженерной инфраструктурой  земельных участков  в целях жилищного строительства, дер.Ополье</t>
  </si>
  <si>
    <t>Всего по подпрограмме</t>
  </si>
  <si>
    <t>Муниципальная</t>
  </si>
  <si>
    <t>Государственная (Ленинградской области)</t>
  </si>
  <si>
    <t xml:space="preserve"> Государственная (Ленинградской области)</t>
  </si>
  <si>
    <t>7940 кв.м</t>
  </si>
  <si>
    <t>1 ед</t>
  </si>
  <si>
    <t>800 кв.м</t>
  </si>
  <si>
    <t>14 000 кв.м</t>
  </si>
  <si>
    <t>1 объект</t>
  </si>
  <si>
    <t>1 км</t>
  </si>
  <si>
    <t>финансирование строительства фельдшерско-акушерского</t>
  </si>
  <si>
    <t xml:space="preserve">(газоснабжение, водопроводные сети, тепловые сети, </t>
  </si>
  <si>
    <t>сети электроснабжения, благоустройство),в том числе</t>
  </si>
  <si>
    <t>проектные работы</t>
  </si>
  <si>
    <t>Строительство и реконструкция объектов  культуры</t>
  </si>
  <si>
    <t>6,1 км</t>
  </si>
  <si>
    <t>1ед.</t>
  </si>
  <si>
    <t>Лужский муниципальный район</t>
  </si>
  <si>
    <t>финансирование строительства распределительного газо-</t>
  </si>
  <si>
    <t xml:space="preserve">финансирование строительства внутриплощадочных </t>
  </si>
  <si>
    <t>0,9 км</t>
  </si>
  <si>
    <t>3,5 км</t>
  </si>
  <si>
    <t>3,9 км</t>
  </si>
  <si>
    <t>Каложицкое сельское поселение Волосовского муниципального района</t>
  </si>
  <si>
    <t>Заказчик</t>
  </si>
  <si>
    <t>0,5 км</t>
  </si>
  <si>
    <t>0,8 км</t>
  </si>
  <si>
    <t>4,2 км</t>
  </si>
  <si>
    <t>1,2 км</t>
  </si>
  <si>
    <t>3 км</t>
  </si>
  <si>
    <t>0,83 км</t>
  </si>
  <si>
    <t>1,6 км</t>
  </si>
  <si>
    <t>5,6 км</t>
  </si>
  <si>
    <t>в том числе</t>
  </si>
  <si>
    <t>областной бюджет</t>
  </si>
  <si>
    <t>местные бюджеты</t>
  </si>
  <si>
    <t>16 ед.</t>
  </si>
  <si>
    <t>Наименование объекта, мероприятия</t>
  </si>
  <si>
    <t>Форма собственности</t>
  </si>
  <si>
    <t>2762 кв.м</t>
  </si>
  <si>
    <t>расположенных в сельской местности, объектами</t>
  </si>
  <si>
    <t>8 км</t>
  </si>
  <si>
    <t>Кингисеппский муниципальный район</t>
  </si>
  <si>
    <t>Гатчинский муниципальный район</t>
  </si>
  <si>
    <t>финансирование строительства  универсальной спортивной площадки</t>
  </si>
  <si>
    <t>Ожидаемый рузультат  реализации мероприя-тия</t>
  </si>
  <si>
    <t>Клопицкое сельское  поселение Волосовского муниципального района</t>
  </si>
  <si>
    <t>Романовское  сельское поселение поселение Всеволожского  муниципального района</t>
  </si>
  <si>
    <t>Рахьинское городское поселение Всеволожского  муниципального района</t>
  </si>
  <si>
    <t>Юкковское  сельское поселение поселение Всеволожского  муниципального района</t>
  </si>
  <si>
    <t>Куйвозовское сельское поселение поселение Всеволожского  муниципального района</t>
  </si>
  <si>
    <t>Толмачевское городское поселение Лужского муниципального района</t>
  </si>
  <si>
    <t>Пениковское сельское поселение Ломоносовского муниципального района</t>
  </si>
  <si>
    <t>Горбунковское сельское поселение Ломоносовского муниципального района</t>
  </si>
  <si>
    <t>Ропшинское  сельское поселение Ломоносовского муниципального района</t>
  </si>
  <si>
    <t>Выскатское сельское поселение Сланцевского муниципального района</t>
  </si>
  <si>
    <t>Путиловское сельское поселение Кировского муниципального района</t>
  </si>
  <si>
    <t>Ромашкинское сельское поселение Приозерского муниципального района</t>
  </si>
  <si>
    <t>Сосновское сельское поселение Приозерского муниципального района</t>
  </si>
  <si>
    <t>Запорожское сельское поселение Приозерского муниципального района</t>
  </si>
  <si>
    <t>Петровское  сельское поселение Приозерского муниципального района</t>
  </si>
  <si>
    <t>Раздольевское  сельское поселение Приозерского муниципального района</t>
  </si>
  <si>
    <t>Громовское сельское поселение Приозерского муниципального района</t>
  </si>
  <si>
    <t>Ларионовское сельское поселение Приозерского муниципального района</t>
  </si>
  <si>
    <t>Самойловское сельское поселение Бокситогорского муниципального района</t>
  </si>
  <si>
    <t>Заборьевское сельское поселение Бокситогорского муниципального района</t>
  </si>
  <si>
    <t>Староладожское  сельское поселение Волховского муниципального района</t>
  </si>
  <si>
    <t>Запорожское   сельское поселение Приозерского муниципального района</t>
  </si>
  <si>
    <t>Мельниковское сельское поселение Приозерского муниципального района</t>
  </si>
  <si>
    <t>Алеховщинское сельское поселение Лодейнопольского муниципального района</t>
  </si>
  <si>
    <t>Суховское сельское поселение Кировского муниципального района</t>
  </si>
  <si>
    <t>2100 кв.м</t>
  </si>
  <si>
    <t>Мгинское городское поселение Кировского муниципального района</t>
  </si>
  <si>
    <t>Кисельнинское сельское поселение Волховского муниципального района</t>
  </si>
  <si>
    <t>Бегуницкое сельское поселение  Волосовского муниципального района</t>
  </si>
  <si>
    <t>Клопицкое сельское поселение  Волосовского муниципального района</t>
  </si>
  <si>
    <t>2.6.3. Финансирование строительства системы водоснабжения пос.Заборье, в т.ч. проектные работы</t>
  </si>
  <si>
    <t>Зимитицкое сельское поселение Волосовского муниципального района</t>
  </si>
  <si>
    <t>Калитинское сельское поселение Волосовского муниципального района</t>
  </si>
  <si>
    <t>Большеврудское сельское поселение  Волосовского муниципального района</t>
  </si>
  <si>
    <t>Сабское сельское поселение  Волосовского муниципального района</t>
  </si>
  <si>
    <t>Лесколовское сельское поселение Всеволожского муниципального района</t>
  </si>
  <si>
    <t>Войсковицкое сельское поселение Гатчинского муниципального района</t>
  </si>
  <si>
    <t>Оржицкое сельское поселение Ломоносовского  муниципального района</t>
  </si>
  <si>
    <t>Русско-Высоцкое сельское поселение Ломоносовского  муниципального района</t>
  </si>
  <si>
    <t>Горбунковское сельское поселение Ломоносовского  муниципального района</t>
  </si>
  <si>
    <t>Осьминское сельское поселение Лужского муниципального района</t>
  </si>
  <si>
    <t>Волошовское сельское поселение Лужского муниципального района</t>
  </si>
  <si>
    <t>Скребловское сельское поселение Лужского муниципального района</t>
  </si>
  <si>
    <t>Мшинское сельское поселение Лужского муниципального района</t>
  </si>
  <si>
    <t>Новосельское сельское поселение Сланцевского муниципального района</t>
  </si>
  <si>
    <t>Тосненский район</t>
  </si>
  <si>
    <t>Низинское сельское поселение Ломоносовского муниципального района</t>
  </si>
  <si>
    <t>29 км</t>
  </si>
  <si>
    <t>25 км</t>
  </si>
  <si>
    <t>Курское сельское поселение Волосовского муниципального района</t>
  </si>
  <si>
    <t>Плодовское сельское поселение Приозерского муниципального района</t>
  </si>
  <si>
    <t>Володарское сельское поселение Лужского муниципального района</t>
  </si>
  <si>
    <t>Пашское сельское поселение Волховского муниципального района</t>
  </si>
  <si>
    <t>Шумское сельское поселение Кировского муниципального района</t>
  </si>
  <si>
    <t>ГКУ "Управление строительства Ленинградской области"</t>
  </si>
  <si>
    <t>Приозерский муниципальный район</t>
  </si>
  <si>
    <t>Волосовский  муниципальный район</t>
  </si>
  <si>
    <t>Всеволожский муниципальный район</t>
  </si>
  <si>
    <t>Калитинское сельское  поселение Волосовского муниципального района</t>
  </si>
  <si>
    <t>Сясьстроевское городское поселение Волховского муниципального района</t>
  </si>
  <si>
    <t>Петровское сельское поселение Приозерского муниципального района</t>
  </si>
  <si>
    <t>Лодейнопольский муниципальный район</t>
  </si>
  <si>
    <t>Волосовский муниципальный район</t>
  </si>
  <si>
    <t>Старопольское сельское поселение Сланцевского муниципального района</t>
  </si>
  <si>
    <t>1 ед.</t>
  </si>
  <si>
    <t>федераль-ный бюджет</t>
  </si>
  <si>
    <t>Заневское сельское поселение поселение Всеволожского  муниципального района</t>
  </si>
  <si>
    <t>Дзержинское сельское поселение Лужского муниципального района</t>
  </si>
  <si>
    <t>Кузьмоловское городское поселение  Всеволожского  муниципального района</t>
  </si>
  <si>
    <t>Планируемые объемы финансирования (тыс. рублей, в ценах года реализации мероприятия)</t>
  </si>
  <si>
    <t>всего</t>
  </si>
  <si>
    <t>2.1.1. Финансирование капитального ремонта МБОУ "Сосновская средняя общеобразовательная школа" на 800 мест</t>
  </si>
  <si>
    <t>Аннинское сельское поселение Ломоносовского муниципального района</t>
  </si>
  <si>
    <t>Рабитицкое сельское поселение Волосовского муниципального района</t>
  </si>
  <si>
    <t>Котельское сельское поселение Кингисеппского района</t>
  </si>
  <si>
    <t>2.5.48.Финансирование строительства газоровода к жилой застройке п.ст.Веймарн</t>
  </si>
  <si>
    <t>2.5.49.Финансирование строительства  распределительного газоровода п.ст.Веймарн, втом числе проектные работы</t>
  </si>
  <si>
    <t>Романовское сельское поселение Всеволожского  муниципального района</t>
  </si>
  <si>
    <t>Коськовское сельское поселение Тихвинского муниципального района</t>
  </si>
  <si>
    <t>Комитет по строительству</t>
  </si>
  <si>
    <t xml:space="preserve">2.1.2. Финансирование строительства  средней общеобразовательной  школы, с. Павлово </t>
  </si>
  <si>
    <t xml:space="preserve">2.1.3. Финансирование реконструкции здания МОУ "Сельцовская средняя общеобразовательная  школа" со строительством пристройки общей мощностью 300 мест, пос.Сельцо </t>
  </si>
  <si>
    <t xml:space="preserve"> 2.1.4. Финансирование строительства детского сада на 100 мест, дер.Рабитицы </t>
  </si>
  <si>
    <t xml:space="preserve"> 2.1.5. Финансирование строительства детского сада на 140 мест, пос.Усть-Луга </t>
  </si>
  <si>
    <t xml:space="preserve"> 2.2.1. Финансирование строительства фельдшерско-акушерского пункта, дер.Рапполово, Всеволожский муниципальный район</t>
  </si>
  <si>
    <t>Перечень</t>
  </si>
  <si>
    <t>Итого по мероприятию 2.1</t>
  </si>
  <si>
    <t>Колтушское  сельское поселение Всеволожского муниципального района</t>
  </si>
  <si>
    <t>Серебрянское сельское поселение Лужского муниципального района</t>
  </si>
  <si>
    <t>Елизаветинское сельское поселение Гатчинского муниципального района</t>
  </si>
  <si>
    <t>Оредежское сельское поселение Лужского муниципального района</t>
  </si>
  <si>
    <t>Заклинское сельское поселение Лужского муниципального района</t>
  </si>
  <si>
    <t xml:space="preserve"> 2.2.15. Финансирование  строительства фельдшерско-акушерского пункта,  в том числе проектные работы,  пос.Васкелово, Всеволожский муниципальный район</t>
  </si>
  <si>
    <t>1 ед., 20 посещений в         смену</t>
  </si>
  <si>
    <t>Итого по мероприятию 2.2</t>
  </si>
  <si>
    <t>Итого по мероприятию 2.3</t>
  </si>
  <si>
    <t>2.6.1. Финансирование строительства системы водоснабжения, дер. Чудцы</t>
  </si>
  <si>
    <t>2.4.67. Финансирование  объекта "Строительство  дома культуры со зрительным залом на 150 мест  в пос. Мичуринское Приозерского муниципального района"</t>
  </si>
  <si>
    <t>0,284 км/ 26,5 п.м.</t>
  </si>
  <si>
    <t>5.1. Финансирование строительства автомобильной дороги "Подъезд к пос. Кравцово" по адресу: Ленинградская область, Выборгский район, Селезневское сельское поселение</t>
  </si>
  <si>
    <t>4,626 км/26,5 п.м.</t>
  </si>
  <si>
    <t>1,426 км</t>
  </si>
  <si>
    <t>**- в том числе остатки средств федерального бюджета 2014 года в объеме 428,96 тыс.рублей, в том числе 278,655 тыс.руб- молодые семьи молодые специалисты</t>
  </si>
  <si>
    <t>*** - в том числе переходящие объекты с 2014 года.</t>
  </si>
  <si>
    <t xml:space="preserve"> 1ед., 25 посещений в смену ***</t>
  </si>
  <si>
    <t xml:space="preserve"> 1ед., 30 посещений в смену ***</t>
  </si>
  <si>
    <t xml:space="preserve"> 1ед., 15 посещений в смену ***</t>
  </si>
  <si>
    <t>1 ед., 60 посещений в смену;  стационар на 6 коек ***</t>
  </si>
  <si>
    <t xml:space="preserve">7 объектов </t>
  </si>
  <si>
    <t>1,7 км ***</t>
  </si>
  <si>
    <t>30,43 км</t>
  </si>
  <si>
    <t>Частная</t>
  </si>
  <si>
    <t>Муниципальная, частная</t>
  </si>
  <si>
    <t>4.3. Финансирование проекта "Обустройство площадки с уличными тренажерами в пос.Дзержинского"</t>
  </si>
  <si>
    <t>4.4. Финансирование проекта "Создание и обустройство детского игрового комплекса в пос.Скреблово"</t>
  </si>
  <si>
    <t>Скребловское селькое поселение Лужского муниципального района</t>
  </si>
  <si>
    <t>2.2.33. Финансирование строительства врачебной амбулатории, пос.Вистино, в том числе проектные работы, Кингисеппский муниципальный район</t>
  </si>
  <si>
    <t>2.6.15. Финансирование объекта "Техническое перевооружение водозаборных сооружений воды с установкой станции очистки исходной воды в блок-модуле (контейнере) производительностью 15 м3/час по адресу: Волховский район, пос. Аврово", в т.ч. проектные работы</t>
  </si>
  <si>
    <t>Климовское сельское поселение
 Бокситогорского муниципального района</t>
  </si>
  <si>
    <t>Сельскохо-зяйственные товаропроизво-дители</t>
  </si>
  <si>
    <t>Муниципальные образования Ленинградской области, сельскохо-зяйственные товаропроизво-дители</t>
  </si>
  <si>
    <t>Старопольское сельское 
поселение Сланцевского муниципального района</t>
  </si>
  <si>
    <r>
      <rPr>
        <sz val="9"/>
        <rFont val="Times New Roman"/>
        <family val="2"/>
      </rPr>
      <t>Государственная</t>
    </r>
    <r>
      <rPr>
        <sz val="10"/>
        <rFont val="Times New Roman"/>
        <family val="2"/>
      </rPr>
      <t xml:space="preserve"> (Ленинградской области)</t>
    </r>
  </si>
  <si>
    <t>2.7.2. Проект комплексного обустройства площадок под компактную жилищную застройку дер.Истинка, в том числе:</t>
  </si>
  <si>
    <t>2.7.3. Проект комплексного обустройства площадок под компактную жилищную застройку, пос.Дзержинского, в том числе:</t>
  </si>
  <si>
    <t>2.8.Финансирование строительства двухэтажного здания  Кингисеппской ветеринарной инспекции,в том числе проектные работы</t>
  </si>
  <si>
    <r>
      <rPr>
        <sz val="9"/>
        <rFont val="Times New Roman"/>
        <family val="2"/>
      </rPr>
      <t xml:space="preserve">Государственная </t>
    </r>
    <r>
      <rPr>
        <sz val="10"/>
        <rFont val="Times New Roman"/>
        <family val="2"/>
      </rPr>
      <t>(Ленинградской области)</t>
    </r>
  </si>
  <si>
    <t>5.7. Финансирование реконструкции автомобильной дороги "Подъезд к пос. Луговое" по адресу: Ленинградская область, Приозерский район, Запорожское сельское поселение, пос. Луговое</t>
  </si>
  <si>
    <t xml:space="preserve">   2015**</t>
  </si>
  <si>
    <t>2.9.Финансирование капитального ремонта здания ГБОУ СПО ЛО "Беседский сельскохозяйственный техникум", пос.Беседа Волосовского района</t>
  </si>
  <si>
    <t>ГБОУ СПО ЛО "Беседский сельскохозяйственный техникум"</t>
  </si>
  <si>
    <t>оставляем строчку для ввода объекта</t>
  </si>
  <si>
    <t xml:space="preserve">2.4.6. Финансирование капитального ремонта Дома культуры, пос.Красносельское </t>
  </si>
  <si>
    <t>2.4.47. Финансирование капитального ремонта Борского культурно-спортивного комплекса</t>
  </si>
  <si>
    <t>2.4.49. Финансирование капитального ремонта Дома культуры в дер.Заклинье</t>
  </si>
  <si>
    <t>2.4.50. Финансирование капитального ремонта Дома культуры в дер.Раковно</t>
  </si>
  <si>
    <t>2.4.54. Финансирование капитального ремонта Коськовского досугового центра, дер.Коськово</t>
  </si>
  <si>
    <t>2.4.55. Финансирование капитального ремонта Дома культуры в дер.Торошковичи</t>
  </si>
  <si>
    <t>2.4.5. Финансирование капитального ремонта МКУ Центр культуры и спорта "Лаголово", дер.Лаголово</t>
  </si>
  <si>
    <t>2.4.24. Финансирование капитального ремонта культурно- спортивного центра МО "Ропшинское сельское поселение", дер.Яльгелево</t>
  </si>
  <si>
    <t>9,243 км,500 м3/сутки, 15 куб. м /час</t>
  </si>
  <si>
    <t>Бугровское сельское поселение Всеволожского муниципального района</t>
  </si>
  <si>
    <t>66,2 км</t>
  </si>
  <si>
    <t>33,5 км</t>
  </si>
  <si>
    <t>22,3 км</t>
  </si>
  <si>
    <t>2.6.10. Финансирование  строительства системы водоснабжения дер.Сологубовка, дер.Лезье, в т.ч. проектные работы</t>
  </si>
  <si>
    <t>15 объектов</t>
  </si>
  <si>
    <t xml:space="preserve"> 2.2.1. Финансирование строительства фельдшерско-акушерского пункта, пос.Курcк, Волосовский муниципальный район</t>
  </si>
  <si>
    <t xml:space="preserve"> 2.2.2. Финансирование строительства фельдшерско-акушерского пункта, пос.Каложицы, Волосовский муниципальный район</t>
  </si>
  <si>
    <t>2.2.3. Финансирование строительства фельдшерско-акушерского пункта, пос.Приветнинское, Выборгский район</t>
  </si>
  <si>
    <t xml:space="preserve"> 2.2.4. Финансирование строительства  фельдшерско-акушерского пункта, пос. Мшинская</t>
  </si>
  <si>
    <t xml:space="preserve"> 2.2.5. Финансирование строительства  фельдшерско-акушерского пункта, дер.Ярославичи, Подпорожский  муниципальный район</t>
  </si>
  <si>
    <t xml:space="preserve"> 2.2.6. Финансирование строительства  фельдшерско-акушерского пункта, пос.Ромашки</t>
  </si>
  <si>
    <t xml:space="preserve"> 2.2.7. Финансирование строительства  фельдшерско-акушерского пункта, пос.Запорожское</t>
  </si>
  <si>
    <t>2.2.8. Финансирование строительства  фельдшерско-акушерского пункта, пос. Ушаки</t>
  </si>
  <si>
    <t xml:space="preserve"> 2.2.9. Финансирование строительства  фельдшерско-акушерского пункта, в том числе проектные работы, пос. Яровщина, Лодейнопольский муниципальный  район</t>
  </si>
  <si>
    <t xml:space="preserve"> 2.2.10. Финансирование объекта "Реконструкция амбулатории в пос.Мельниково"</t>
  </si>
  <si>
    <t xml:space="preserve"> 2.2.11. Финансирование объекта "Реконструкция здания бытового обслуживания, с.Путилово, Кировский муниципальный район, под офис врача общей практики, в том числе проектные работы" </t>
  </si>
  <si>
    <t xml:space="preserve"> 2.2.12. Финансирование объекта "Реконструкция амбулатории на 250 пос. в смену, дер.Вартемяги"</t>
  </si>
  <si>
    <t>2.2.13. Финансирование  строительства фельдшерско-акушерского пункта,  в том числе проектные работы, дер.Бережки, Волховский муниципальный район</t>
  </si>
  <si>
    <t xml:space="preserve"> 2.2.14. Финансирование  строительства фельдшерско-акушерского пункта,  в том числе проектные работы, дер.Семрино, Гатчинский муниципальный район </t>
  </si>
  <si>
    <t xml:space="preserve"> 2.2.15. Финансирование  строительства фельдшерско-акушерского пункта,   в том числе проектные работы, дер.Глобицы, Ломоносовский муниципальный район</t>
  </si>
  <si>
    <t xml:space="preserve"> 2.2.16. Финансирование  строительства фельдшерско-акушерского пункта,   в том числе проектные работы, пос.Волошово, Лужский муниципальный район   </t>
  </si>
  <si>
    <t xml:space="preserve"> 2.2.17. Финансирование  строительства амбулатории, в том числе проектные работы,пос.Щеглово Всеволожский муниципальный район</t>
  </si>
  <si>
    <t xml:space="preserve"> 2.2.18. Финансирование  строительства врачебной амбулатории, пос.Котельский,  в том числе проектные работы, Кингисеппский муниципальный район </t>
  </si>
  <si>
    <t>2.2.19. Финансирование строительства фельдшерско-акушерского пункта, пос.Торковичи, Лужский муниципальный район</t>
  </si>
  <si>
    <t>2.2.20. Финансирование  строительства врачебной амбулатории,  в том числе проектные работы, пос.Плодовое, Приозерский муниципальный район</t>
  </si>
  <si>
    <t>2.2.21. Финансирование строительства фельдшерско-акушерского пункта, пос.Большое Поле,в том числе проектные работы, Выборгский муниципальный район</t>
  </si>
  <si>
    <t>2.4.31. Финансирование капитального ремонта Дома культуры, дер.Старополье</t>
  </si>
  <si>
    <t>2.4.32. Финансирование капитального ремонта Дома культуры, дер. Раздолье, в т.ч. благоустройство прилегающей территории</t>
  </si>
  <si>
    <t>2.4.33. Финансирование капитального ремонта Дома культуры, пос. Суходолье, в т.ч. приобретение мебели и оборудования</t>
  </si>
  <si>
    <t xml:space="preserve">2.4.34. Финансирование капитального ремонта Дома культуры, пос.Ромашки </t>
  </si>
  <si>
    <t>2.4.35. Финансирование капитального ремонта Дома культуры, пос.Петровское</t>
  </si>
  <si>
    <t>2.4.36. Финансирование капитального ремонта Дома культуры, пос.Плодовое</t>
  </si>
  <si>
    <t>2.4.37. Финансирование капитального здания муниципального автономного учреждения "Тосненский районный культурно-спортивный центр", филиал Сельцовский, пос.Сельцо</t>
  </si>
  <si>
    <t>2.4.38. Финансирование капитального ремонта здания  Дома культуры "Юбилейный", пос.Любань</t>
  </si>
  <si>
    <t>2.4.39. Финансирование капитального ремонта Дома культуры, дер.Ретюнь</t>
  </si>
  <si>
    <t>2.4.40. Финансирование капитального ремонта Дома культуры, пос.Черновское</t>
  </si>
  <si>
    <t>2.4.41. Финансирование капитального ремонта Дома культуры в пос.Починок</t>
  </si>
  <si>
    <t>2.4.42. Финансирование капитального ремонта МБУКС "КСК-Алексино" в пос.Колчаново, в т.ч. приобретение видеопроектной аппаратуры</t>
  </si>
  <si>
    <t>2.4.43. Финансирование капитального ремонта дома культуры в пос.Серебрянский</t>
  </si>
  <si>
    <t>2.4.44. Финансирование капитального ремонта дома культуры в пос.Елизаветино</t>
  </si>
  <si>
    <t xml:space="preserve">2.4.45. Финансирование капитального ремонта КДЦ "Торжество" в пос.Оредеж </t>
  </si>
  <si>
    <t xml:space="preserve">2.4.47. Финансирование капитального ремонта Дома культуры в пос.Аннино </t>
  </si>
  <si>
    <t>2.4.48. Финансирование капитального ремонта Дома культуры в дер.Рабитицы</t>
  </si>
  <si>
    <t>2.4.49. Финансирование капитального ремонта Дома культуры в пос.Запорожское</t>
  </si>
  <si>
    <t>2.4.50. Финансирование капитального ремонта здания Дома культуры в дер.Снегиревка</t>
  </si>
  <si>
    <t>2.4.51. Финансирование объекта "Реконструкция  здания  муниципального учреждения  культуры клубного типа "Дом культуры дер.Низино"</t>
  </si>
  <si>
    <t>2.4.52. Финансирование строительства дома культуры со зрительным залом на 150 мест, пос.Курск</t>
  </si>
  <si>
    <t>2.4.53. Финансирование строительства библиотеки,  пос.Соловьевка</t>
  </si>
  <si>
    <t>2.4.56. Финансирование строительства дома культуры на 150 мест с библиотекой, сблокированный со спорткорпусом в с.Паша, в т.ч. проектные работы</t>
  </si>
  <si>
    <t>2.4.57. Финансирование строительства дома культуры на 120 мест, в том числе проектные работы, пос.Заборье</t>
  </si>
  <si>
    <t>2.4.59. Финансирование строительства дома культуры в пос.Торковичи, в том числе проектные работы</t>
  </si>
  <si>
    <t>2.4.60. Финансирование  объекта "Строительство  дома культуры на 150 мест  в пос. Терпилицы Волосовского муниципального района"</t>
  </si>
  <si>
    <t>2.4.61. Финансирование объекта "Строительство дома культуры со зрительным залом на 150 мест и билиотекой в пос.Новоселье Ломоносовского района"</t>
  </si>
  <si>
    <t>2.4.62. Финансирование строительства дома культуры, в том числе проектные работы, пос.Скреблово</t>
  </si>
  <si>
    <t>2.5.34. Финансирование строительства объекта "Распределительный газопровод по пос.Кротово"</t>
  </si>
  <si>
    <t>2.5.35. Финансирование строительства объекта "Газоснабжение пос. Ларионово", в т.ч. проектные работы</t>
  </si>
  <si>
    <t>5.1. Финансирование строительства автомобильной дороги "Подъезд к пос. Яшино" по адресу: Ленинградская область, Выборгский район, Селезневское сельское поселение</t>
  </si>
  <si>
    <t>5.2. Финансирование реконструкции автомобильной дороги "Подъезд к дер. Силино" по адресу: Ленинградская область, Приозерский район, Красноозерное сельское поселение, дер. Силино</t>
  </si>
  <si>
    <t>5.3. Финансирование реконструкции автомобильной дороги "Подъезд к пос. Маслово" по адресу: Ленинградская область, Выборгский район, Каменногорское городское поселение, пос. Маслово</t>
  </si>
  <si>
    <t>5.4. Финансирование реконструкции автомобильной дороги "Подъезд к пос. Мехбаза" по адресу: Ленинградская область, Тихвинский район</t>
  </si>
  <si>
    <t>социальной и инженерной инфраструктуры</t>
  </si>
  <si>
    <r>
      <t>Мероприятие 2.1</t>
    </r>
    <r>
      <rPr>
        <sz val="12"/>
        <rFont val="Times New Roman"/>
        <family val="2"/>
      </rPr>
      <t>.Развитие сети общеобразовательных  и детских дошкольных организаций в сельской местности</t>
    </r>
  </si>
  <si>
    <r>
      <rPr>
        <b/>
        <sz val="12"/>
        <rFont val="Times New Roman"/>
        <family val="2"/>
      </rPr>
      <t>Мероприятие 2.2.</t>
    </r>
    <r>
      <rPr>
        <sz val="12"/>
        <rFont val="Times New Roman"/>
        <family val="2"/>
      </rPr>
      <t xml:space="preserve"> Развитие сети  фельдшерско-акушерских пунктов, офисов врачей общей практики и других учреждений здравоохранения в сельской местности</t>
    </r>
  </si>
  <si>
    <r>
      <rPr>
        <b/>
        <sz val="12"/>
        <rFont val="Times New Roman"/>
        <family val="2"/>
      </rPr>
      <t>Мероприятие 2.3.</t>
    </r>
    <r>
      <rPr>
        <sz val="12"/>
        <rFont val="Times New Roman"/>
        <family val="2"/>
      </rPr>
      <t xml:space="preserve"> Развитие сети плоскостных  сооружений в сельской местности</t>
    </r>
  </si>
  <si>
    <r>
      <rPr>
        <b/>
        <sz val="12"/>
        <rFont val="Times New Roman"/>
        <family val="2"/>
      </rPr>
      <t xml:space="preserve">Мероприятие 2.4. </t>
    </r>
    <r>
      <rPr>
        <sz val="12"/>
        <rFont val="Times New Roman"/>
        <family val="2"/>
      </rPr>
      <t xml:space="preserve">Мероприятия по развитию сети учреждений культурно-досуговой деятельности  в сельской местности                                    </t>
    </r>
  </si>
  <si>
    <r>
      <rPr>
        <b/>
        <sz val="12"/>
        <rFont val="Times New Roman"/>
        <family val="2"/>
      </rPr>
      <t xml:space="preserve">Мероприятие 2.5. </t>
    </r>
    <r>
      <rPr>
        <sz val="12"/>
        <rFont val="Times New Roman"/>
        <family val="2"/>
      </rPr>
      <t xml:space="preserve">Развитие газификации в сельской местности </t>
    </r>
  </si>
  <si>
    <r>
      <rPr>
        <b/>
        <sz val="12"/>
        <rFont val="Times New Roman"/>
        <family val="2"/>
      </rPr>
      <t xml:space="preserve">Мероприятие 2.6.  </t>
    </r>
    <r>
      <rPr>
        <sz val="12"/>
        <rFont val="Times New Roman"/>
        <family val="2"/>
      </rPr>
      <t>Развитие водоснабжения в сельской местности</t>
    </r>
  </si>
  <si>
    <r>
      <rPr>
        <b/>
        <sz val="12"/>
        <rFont val="Times New Roman"/>
        <family val="2"/>
      </rPr>
      <t xml:space="preserve"> Мероприятие 2.7. </t>
    </r>
    <r>
      <rPr>
        <sz val="12"/>
        <rFont val="Times New Roman"/>
        <family val="2"/>
      </rPr>
      <t>Мероприятия по реализации проектов комплексного обустройства площадок под компактную жилищную застройку в сельской местности</t>
    </r>
  </si>
  <si>
    <r>
      <rPr>
        <b/>
        <sz val="12"/>
        <rFont val="Times New Roman"/>
        <family val="2"/>
      </rPr>
      <t xml:space="preserve">Основное мероприятие 4. </t>
    </r>
    <r>
      <rPr>
        <sz val="12"/>
        <rFont val="Times New Roman"/>
        <family val="2"/>
      </rPr>
      <t>Грантовая поддержка местных инициатив граждан, проживающих в сельской местности</t>
    </r>
  </si>
  <si>
    <t>0,5 добавил сам</t>
  </si>
  <si>
    <t>2.4.46. Финансирование капитального ремонта помещений здания клуба в пос. Пятиречье, в т.ч. приобретение мебели и оборудования</t>
  </si>
  <si>
    <t>10 ед.</t>
  </si>
  <si>
    <t>4500 га</t>
  </si>
  <si>
    <t>5150 га</t>
  </si>
  <si>
    <t>5800 га</t>
  </si>
  <si>
    <t>2.4.1. Финансирование капитального ремонта учреждений культуры МКУ "Климовский культурный центр, дер.Климово" и Журавлевского дома культуры, дер. Журавлево</t>
  </si>
  <si>
    <t>56,1 км, в т.ч. 1,7 км переходящие с 2014 года</t>
  </si>
  <si>
    <t xml:space="preserve">граждан, проживающих в сельской местности, </t>
  </si>
  <si>
    <t>в т.ч. молодых семей и молодых специалистов</t>
  </si>
  <si>
    <t>1,461 км</t>
  </si>
  <si>
    <t>1,4259 км</t>
  </si>
  <si>
    <t>3,986 км</t>
  </si>
  <si>
    <t>15700 кв.м</t>
  </si>
  <si>
    <t xml:space="preserve">Книжный фонд библиотеки - 10 тыс. экз. </t>
  </si>
  <si>
    <t xml:space="preserve">8,66 км, 500 куб.м./сутки </t>
  </si>
  <si>
    <t>2.6.16. Финансирование объекта "Водоснабжение дер.Раздолье Приозерского района", в т.ч. проектные работы</t>
  </si>
  <si>
    <t>423  места</t>
  </si>
  <si>
    <t>20 км</t>
  </si>
  <si>
    <t>1040 мест</t>
  </si>
  <si>
    <t>10 объектов, в т.ч. 6 объектов переходящих с 2014 года</t>
  </si>
  <si>
    <t>7 объектов</t>
  </si>
  <si>
    <t xml:space="preserve"> финансирование строительства универсального спортивного комплекса с игровым залом, в т.ч.устройство ограждений спортивного комплекса, ливневой канализации для спортивного комплекса, ремонт подводящих сетей теплоснабжения, в т.ч. проектные работы</t>
  </si>
  <si>
    <t>Капитальный ремонт школы на 800 мест</t>
  </si>
  <si>
    <t>Любанское  городское поселение Тосненского района</t>
  </si>
  <si>
    <t>Мелегежское сельское поселение Тихвинского муниципального района</t>
  </si>
  <si>
    <t>14 ед. и Книжный фонд библиотеки - 10 тыс. экз.</t>
  </si>
  <si>
    <t>18 ед. и 423 места</t>
  </si>
  <si>
    <t>2.5.9. Финансирование  строительства объекта "Распределительный газопровод низкого давления для газификации домовладений по ул.Малая Толмачевская , д.3-а, 6-а, 7-а, 8-а, 1/10, 3, 5-а, 6, 10, 12, 13, 15 в пос.Толмачево и ул.Толмачева д.76, 80, 82, 84, 86, 88, 90, 92 в дер.Жельцы"</t>
  </si>
  <si>
    <t>2.5.10. Финансирование строительства объекта "Распределительный газопровод, дер.Естомичи"</t>
  </si>
  <si>
    <t>2.5.11. Финансирование  строительства объекта "Распределительный газопровод по дер.Куккузи"</t>
  </si>
  <si>
    <t>2.5.12. Финансирование строительства  объекта "Распределительный газопровод,  дер.Новополье"</t>
  </si>
  <si>
    <t>2.5.13. Финансирование строительства  объекта "Распределительный газопровод,  дер.Глядино"</t>
  </si>
  <si>
    <t xml:space="preserve">2.5.14. Финансирование строительства  объекта "Распределительный газопровод,  дер.Ропша" </t>
  </si>
  <si>
    <t>2.5.15. Финансирование объекта "Газопровод среднего и низкого давления дер.Выскатка", в том числе проектные работы</t>
  </si>
  <si>
    <t>2.5.16. Финансирование объекта "Строительство газораспределительной сети с установкой 2-х ГРПШ, дер. Новолисино"</t>
  </si>
  <si>
    <t>2.5.17. Финансирование строительства объекта "Газоснабжение  жилой застройки, 2 этап", в том числе проектные работы, с.Путилово</t>
  </si>
  <si>
    <t>2.5.18. Финансирование объекта "Газоснабжение дер.Петровщина", в том числе проектные работы</t>
  </si>
  <si>
    <t>2.5.19. Финансирование  строительства объекта "Газоснабжение дер.Горная Шальдиха", в том числе проектные работы</t>
  </si>
  <si>
    <t>2.5.20. Финансирование  строительства объекта "Газоснабжение Нижняя Шальдиха", в том числе проектные работы</t>
  </si>
  <si>
    <t>2.5.21. Финансирование  газоснабжения индивидуальных жилых домов по ул.Молодежная, ул.Механизаторов, Московскому шоссе, дер.Трубников Бор</t>
  </si>
  <si>
    <t>2.5.22. Финансирование  наружного газопровода к многоквартирным жилым домам №1,2 по ул.Железнодорожной, дер.Трубников Бор</t>
  </si>
  <si>
    <t>2.5.23. Финансирование  строительства объекта "Распределительный газопровод в жилые дома №1-7,7а,8,8а,9а,9б,10,10а,12,13,13а,13б,14,15,15а,16-22,24,26,27,27а,28,28а,29-33,33а,34,34а,35-3840б,41,42,44,44а,46-50, ул.Солнечная д.1-8, ул.Матвеевка д.1-5,8,9,14,15,15а, ул.Сосновая №9-12,18,19,21,22,28, д.Бегуницы" в том числе проектные работы</t>
  </si>
  <si>
    <t>2.5.24. Финансирование строительства объекта "Распределительные газопроводы для газоснабжения дер. Рассколово и Саксолово по адресу: Ленинградская область, Ломоносовский район, Виллозское сельское поселение, дер.Рассколово, дер.Саксолово"</t>
  </si>
  <si>
    <t>2.5.25. Финансирование строительства объекта "Распределительные газопроводы для газоснабжения дер. Арапаккузи по адресу: Ленинградская область, Ломоносовский район, Виллозское сельское поселение, дер.Арапаккузи"</t>
  </si>
  <si>
    <t>2.5.26. Финансирование строительства объекта "Распределительные газопроводы для газоснабжения дер. Виллози по адресу: Ленинградская область, Ломоносовский район, Виллозское сельское поселение, дер.Виллози"</t>
  </si>
  <si>
    <t>2.5.27. Финансирование строительства объекта "Наружное газоснабжение жилых домов пос.Ромашки", в том числе проектные работы</t>
  </si>
  <si>
    <t>2.5.28. Финансирование строительства объекта "Распределительный (уличный) газопровод с сопутствующими сооружениями для газоснабжения населенных пунктов дер. Кривко МО Сосновское сельское поселение Приозерского района"</t>
  </si>
  <si>
    <t>2.5.29. Финансирование строительства объекта "Распределительный газопровод пос.Пятиречье", в т.ч. проектные работы</t>
  </si>
  <si>
    <t>2.5.30. Финансирование строительства объекта                           "Распределительный газопровод дер.Раздолье", в т.ч. проектные работы</t>
  </si>
  <si>
    <t>2.5.31. Финансирование строительства объекта "Распределительный газопровод пос. Громово", в т.ч. проектные работы</t>
  </si>
  <si>
    <t xml:space="preserve">2.5.32. Финансирование строительства объекта "Газоснабжение 125-ти индивидуальных жилых домовладений дер.Захонье", в т.ч. проектные работы </t>
  </si>
  <si>
    <t>2.5.33. Финансирование строительства объекта "Газопровод для газификации жилого фонда в границах ул.Лесная, Труда, Энтузиастов, Солнечная, пер.Центральный, ул.Сосновая, ул.Парковая, ул.Земляничная пос.Янега", в т.ч. проектные работы</t>
  </si>
  <si>
    <t>2.5.34. Финансирование строительства объекта "Газоснабжение дер.Ущевицы", в т.ч. проектные работы</t>
  </si>
  <si>
    <t>2.5.35. Финансирование строительства объекта "Газоснабжение второй очереди жилых домов пос.Каложицы в границах: ул.Центральная от жилого дома №12 до жилого дома №18, с учетом индивидуальной жилой застройки, и дер.Хотыницы", в т.ч. проектные работы</t>
  </si>
  <si>
    <t>2.5.36. Финансирование строительства объекта "Распределительный (уличный) газопровод с сопутствующими сооружениями для газоснабжения ул.Леспромхозовская, ул.Чернецкое с.Колчаново", в т.ч. проектные работы</t>
  </si>
  <si>
    <t>2.5.37. Финансирование строительства объекта "Подводящий газопровод для газоснабжения жилых домов в дер.Самойлово", в т.ч. Проектные работы</t>
  </si>
  <si>
    <t>2.5.38. Финансирование строительства объекта "Газоснабжение дер.Агалатово"</t>
  </si>
  <si>
    <t>2.5.39. Финансирование строительства объекта "Газоснабжение индивидуальных жилых домов дер.Орово", в т.ч. проектные работы</t>
  </si>
  <si>
    <t>2.5.40. Финансирование строительства газопровода к жилой застройке дер.Котлы</t>
  </si>
  <si>
    <t>2.5.41. Финансирование строительства объекта "Газопровод межпоселковый от ГРС "Тосно" - пос.Строение", в т.ч. проектные работы</t>
  </si>
  <si>
    <t>2.5.42.Финансирование строительства распределительного (уличного) газопровода и ПРГ для газоснабжения жилых домов в дер.Энколово</t>
  </si>
  <si>
    <t xml:space="preserve"> финансирование строительства объекта "Благоустройство территории территории, дер.Истинка: внутриплощадочные проезды, ливневая канализация, в том числе проектные</t>
  </si>
  <si>
    <t>2.4.54. Финансирование  объекта "Реконструкция здания  дома культуры на 140 мест  в пос. Володарское Лужского  муниципального района, в том числе проектные работы"</t>
  </si>
  <si>
    <r>
      <rPr>
        <b/>
        <sz val="11"/>
        <rFont val="Times New Roman"/>
        <family val="2"/>
      </rPr>
      <t>Основное мероприятие 1.</t>
    </r>
    <r>
      <rPr>
        <sz val="11"/>
        <rFont val="Times New Roman"/>
        <family val="2"/>
      </rPr>
      <t>Улучшение жилищных</t>
    </r>
  </si>
  <si>
    <r>
      <rPr>
        <b/>
        <sz val="11"/>
        <rFont val="Times New Roman"/>
        <family val="2"/>
      </rPr>
      <t xml:space="preserve">Основное мероприятие 2. </t>
    </r>
    <r>
      <rPr>
        <sz val="11"/>
        <rFont val="Times New Roman"/>
        <family val="2"/>
      </rPr>
      <t xml:space="preserve">Комплексное обустройство населенных пунктов, </t>
    </r>
  </si>
  <si>
    <t>2.4.55. Финансирование реконструкции Дома культуры, с.Шум, в т.ч. проектные работы</t>
  </si>
  <si>
    <t>2.6.12. Финансирование объекта "Строительство водоочистных сооружений пос.Мельниково"</t>
  </si>
  <si>
    <t xml:space="preserve">2.7.4. Проект комплексного обустройства площадок под компактную жилищную застройку, пос.Приозерный, в том числе: </t>
  </si>
  <si>
    <r>
      <rPr>
        <b/>
        <sz val="11"/>
        <rFont val="Times New Roman"/>
        <family val="2"/>
      </rPr>
      <t xml:space="preserve">Основное мероприятие 3. </t>
    </r>
    <r>
      <rPr>
        <sz val="11"/>
        <rFont val="Times New Roman"/>
        <family val="2"/>
      </rPr>
      <t>Мероприятия по строительству, реконструкции, капитальному ремонту  и ремонту автомобильных дорог, связывающих объекты сельскохозяйственного 
назначения  между собой и (или) с дорогами общего пользования</t>
    </r>
  </si>
  <si>
    <r>
      <rPr>
        <b/>
        <sz val="11"/>
        <rFont val="Times New Roman"/>
        <family val="2"/>
      </rPr>
      <t xml:space="preserve">Основное мероприятие 5. </t>
    </r>
    <r>
      <rPr>
        <sz val="11"/>
        <rFont val="Times New Roman"/>
        <family val="2"/>
      </rPr>
  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продукции.
</t>
    </r>
  </si>
  <si>
    <r>
      <rPr>
        <b/>
        <sz val="11"/>
        <rFont val="Times New Roman"/>
        <family val="2"/>
      </rPr>
      <t xml:space="preserve">Основное мероприятие 6. </t>
    </r>
    <r>
      <rPr>
        <sz val="11"/>
        <rFont val="Times New Roman"/>
        <family val="2"/>
      </rPr>
      <t xml:space="preserve">Борьба с борщевиком Сосновского </t>
    </r>
  </si>
  <si>
    <t>2.4.58. Финансирование  объекта "Реконструкция здания Андреевского центра  культуры и досуга со строительством пристройки, в том числе проектные работы", дер.Мелегежская Горка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</si>
</sst>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8"/>
      <name val="Times New Roman"/>
      <family val="2"/>
    </font>
    <font>
      <sz val="11"/>
      <name val="Times New Roman"/>
      <family val="2"/>
    </font>
    <font>
      <b/>
      <sz val="11"/>
      <color indexed="8"/>
      <name val="Times New Roman"/>
      <family val="1"/>
    </font>
    <font>
      <sz val="1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sz val="13"/>
      <name val="Times New Roman"/>
      <family val="2"/>
    </font>
    <font>
      <b/>
      <sz val="10"/>
      <name val="Times New Roman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9.5"/>
      <name val="Times New Roman"/>
      <family val="2"/>
    </font>
    <font>
      <b/>
      <sz val="9.5"/>
      <name val="Times New Roman"/>
      <family val="2"/>
    </font>
    <font>
      <sz val="9"/>
      <name val="Times New Roman"/>
      <family val="2"/>
    </font>
    <font>
      <b/>
      <sz val="11"/>
      <name val="Times New Roman"/>
      <family val="2"/>
    </font>
    <font>
      <b/>
      <sz val="18"/>
      <color indexed="56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thin"/>
      <right/>
      <top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/>
      <top style="thin"/>
      <bottom style="double"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1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 vertical="top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6" fontId="0" fillId="0" borderId="0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2" xfId="0" applyBorder="1" applyAlignment="1">
      <alignment/>
    </xf>
    <xf numFmtId="164" fontId="4" fillId="0" borderId="0" xfId="0" applyNumberFormat="1" applyFont="1" applyFill="1" applyAlignment="1">
      <alignment/>
    </xf>
    <xf numFmtId="166" fontId="0" fillId="0" borderId="12" xfId="0" applyNumberFormat="1" applyBorder="1" applyAlignment="1">
      <alignment/>
    </xf>
    <xf numFmtId="166" fontId="0" fillId="33" borderId="12" xfId="0" applyNumberFormat="1" applyFill="1" applyBorder="1" applyAlignment="1">
      <alignment/>
    </xf>
    <xf numFmtId="166" fontId="4" fillId="0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" fontId="4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164" fontId="0" fillId="0" borderId="0" xfId="0" applyNumberFormat="1" applyFill="1" applyAlignment="1">
      <alignment wrapText="1"/>
    </xf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33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2" fillId="0" borderId="0" xfId="0" applyNumberFormat="1" applyFont="1" applyFill="1" applyBorder="1" applyAlignment="1">
      <alignment vertical="center" wrapText="1"/>
    </xf>
    <xf numFmtId="166" fontId="0" fillId="0" borderId="0" xfId="0" applyNumberFormat="1" applyFill="1" applyBorder="1" applyAlignment="1">
      <alignment wrapText="1"/>
    </xf>
    <xf numFmtId="166" fontId="0" fillId="0" borderId="0" xfId="0" applyNumberFormat="1" applyFill="1" applyAlignment="1">
      <alignment wrapText="1"/>
    </xf>
    <xf numFmtId="1" fontId="5" fillId="0" borderId="0" xfId="0" applyNumberFormat="1" applyFont="1" applyFill="1" applyAlignment="1">
      <alignment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164" fontId="0" fillId="0" borderId="0" xfId="0" applyNumberFormat="1" applyFill="1" applyBorder="1" applyAlignment="1">
      <alignment/>
    </xf>
    <xf numFmtId="1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64" fontId="8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34" borderId="0" xfId="0" applyFont="1" applyFill="1" applyAlignment="1">
      <alignment horizontal="center" wrapText="1"/>
    </xf>
    <xf numFmtId="0" fontId="6" fillId="35" borderId="13" xfId="0" applyFont="1" applyFill="1" applyBorder="1" applyAlignment="1">
      <alignment horizontal="center" vertical="top" wrapText="1"/>
    </xf>
    <xf numFmtId="1" fontId="6" fillId="35" borderId="14" xfId="0" applyNumberFormat="1" applyFont="1" applyFill="1" applyBorder="1" applyAlignment="1">
      <alignment horizontal="center" vertical="top"/>
    </xf>
    <xf numFmtId="0" fontId="6" fillId="35" borderId="15" xfId="0" applyFont="1" applyFill="1" applyBorder="1" applyAlignment="1">
      <alignment horizontal="center" vertical="top"/>
    </xf>
    <xf numFmtId="0" fontId="0" fillId="0" borderId="16" xfId="0" applyBorder="1" applyAlignment="1">
      <alignment wrapText="1"/>
    </xf>
    <xf numFmtId="0" fontId="6" fillId="35" borderId="13" xfId="0" applyFont="1" applyFill="1" applyBorder="1" applyAlignment="1">
      <alignment horizontal="center" vertical="top"/>
    </xf>
    <xf numFmtId="2" fontId="6" fillId="35" borderId="15" xfId="0" applyNumberFormat="1" applyFont="1" applyFill="1" applyBorder="1" applyAlignment="1">
      <alignment horizontal="center" vertical="center" wrapText="1" shrinkToFit="1"/>
    </xf>
    <xf numFmtId="1" fontId="6" fillId="35" borderId="12" xfId="0" applyNumberFormat="1" applyFont="1" applyFill="1" applyBorder="1" applyAlignment="1">
      <alignment horizontal="center" vertical="top"/>
    </xf>
    <xf numFmtId="164" fontId="6" fillId="35" borderId="12" xfId="0" applyNumberFormat="1" applyFont="1" applyFill="1" applyBorder="1" applyAlignment="1">
      <alignment horizontal="center" vertical="top"/>
    </xf>
    <xf numFmtId="166" fontId="6" fillId="35" borderId="12" xfId="0" applyNumberFormat="1" applyFont="1" applyFill="1" applyBorder="1" applyAlignment="1">
      <alignment horizontal="center" vertical="top"/>
    </xf>
    <xf numFmtId="0" fontId="6" fillId="35" borderId="17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left" vertical="top" wrapText="1"/>
    </xf>
    <xf numFmtId="0" fontId="13" fillId="35" borderId="17" xfId="0" applyFont="1" applyFill="1" applyBorder="1" applyAlignment="1">
      <alignment horizontal="center" vertical="top" wrapText="1"/>
    </xf>
    <xf numFmtId="164" fontId="4" fillId="35" borderId="19" xfId="0" applyNumberFormat="1" applyFont="1" applyFill="1" applyBorder="1" applyAlignment="1">
      <alignment horizontal="center" vertical="top"/>
    </xf>
    <xf numFmtId="0" fontId="6" fillId="35" borderId="17" xfId="0" applyFont="1" applyFill="1" applyBorder="1" applyAlignment="1">
      <alignment horizontal="center" vertical="top"/>
    </xf>
    <xf numFmtId="0" fontId="6" fillId="35" borderId="18" xfId="0" applyFont="1" applyFill="1" applyBorder="1" applyAlignment="1">
      <alignment horizontal="left" vertical="top" wrapText="1"/>
    </xf>
    <xf numFmtId="0" fontId="13" fillId="35" borderId="18" xfId="0" applyFont="1" applyFill="1" applyBorder="1" applyAlignment="1">
      <alignment horizontal="center" vertical="top" wrapText="1"/>
    </xf>
    <xf numFmtId="1" fontId="4" fillId="35" borderId="17" xfId="0" applyNumberFormat="1" applyFont="1" applyFill="1" applyBorder="1" applyAlignment="1">
      <alignment horizontal="center" vertical="top"/>
    </xf>
    <xf numFmtId="164" fontId="6" fillId="35" borderId="17" xfId="0" applyNumberFormat="1" applyFont="1" applyFill="1" applyBorder="1" applyAlignment="1">
      <alignment horizontal="center" vertical="top"/>
    </xf>
    <xf numFmtId="164" fontId="4" fillId="35" borderId="17" xfId="0" applyNumberFormat="1" applyFont="1" applyFill="1" applyBorder="1" applyAlignment="1">
      <alignment horizontal="center" vertical="top"/>
    </xf>
    <xf numFmtId="0" fontId="6" fillId="35" borderId="18" xfId="0" applyFont="1" applyFill="1" applyBorder="1" applyAlignment="1">
      <alignment horizontal="center" vertical="top"/>
    </xf>
    <xf numFmtId="0" fontId="6" fillId="35" borderId="14" xfId="0" applyFont="1" applyFill="1" applyBorder="1" applyAlignment="1">
      <alignment horizontal="left" vertical="top" wrapText="1"/>
    </xf>
    <xf numFmtId="0" fontId="13" fillId="35" borderId="14" xfId="0" applyFont="1" applyFill="1" applyBorder="1" applyAlignment="1">
      <alignment horizontal="center" vertical="top" wrapText="1"/>
    </xf>
    <xf numFmtId="164" fontId="6" fillId="35" borderId="14" xfId="0" applyNumberFormat="1" applyFont="1" applyFill="1" applyBorder="1" applyAlignment="1">
      <alignment horizontal="center" vertical="top"/>
    </xf>
    <xf numFmtId="164" fontId="4" fillId="35" borderId="14" xfId="0" applyNumberFormat="1" applyFont="1" applyFill="1" applyBorder="1" applyAlignment="1">
      <alignment horizontal="center" vertical="top"/>
    </xf>
    <xf numFmtId="0" fontId="6" fillId="35" borderId="14" xfId="0" applyFont="1" applyFill="1" applyBorder="1" applyAlignment="1">
      <alignment horizontal="center" vertical="top"/>
    </xf>
    <xf numFmtId="0" fontId="13" fillId="35" borderId="13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164" fontId="4" fillId="35" borderId="12" xfId="0" applyNumberFormat="1" applyFont="1" applyFill="1" applyBorder="1" applyAlignment="1">
      <alignment horizontal="center" vertical="top"/>
    </xf>
    <xf numFmtId="0" fontId="4" fillId="35" borderId="0" xfId="0" applyFont="1" applyFill="1" applyAlignment="1">
      <alignment/>
    </xf>
    <xf numFmtId="1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/>
    </xf>
    <xf numFmtId="49" fontId="13" fillId="35" borderId="0" xfId="0" applyNumberFormat="1" applyFont="1" applyFill="1" applyAlignment="1">
      <alignment wrapText="1"/>
    </xf>
    <xf numFmtId="49" fontId="4" fillId="35" borderId="0" xfId="0" applyNumberFormat="1" applyFont="1" applyFill="1" applyAlignment="1">
      <alignment wrapText="1"/>
    </xf>
    <xf numFmtId="49" fontId="13" fillId="35" borderId="0" xfId="0" applyNumberFormat="1" applyFont="1" applyFill="1" applyAlignment="1">
      <alignment horizontal="center" wrapText="1"/>
    </xf>
    <xf numFmtId="49" fontId="4" fillId="35" borderId="0" xfId="0" applyNumberFormat="1" applyFont="1" applyFill="1" applyAlignment="1">
      <alignment horizontal="center" wrapText="1"/>
    </xf>
    <xf numFmtId="0" fontId="13" fillId="35" borderId="0" xfId="0" applyFont="1" applyFill="1" applyAlignment="1">
      <alignment horizontal="center" wrapText="1"/>
    </xf>
    <xf numFmtId="0" fontId="4" fillId="35" borderId="0" xfId="0" applyFont="1" applyFill="1" applyAlignment="1">
      <alignment horizontal="center" wrapText="1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center" wrapText="1"/>
    </xf>
    <xf numFmtId="1" fontId="9" fillId="35" borderId="0" xfId="0" applyNumberFormat="1" applyFont="1" applyFill="1" applyAlignment="1">
      <alignment horizontal="center"/>
    </xf>
    <xf numFmtId="0" fontId="9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13" fillId="35" borderId="0" xfId="0" applyFont="1" applyFill="1" applyAlignment="1">
      <alignment wrapText="1"/>
    </xf>
    <xf numFmtId="0" fontId="4" fillId="35" borderId="0" xfId="0" applyFont="1" applyFill="1" applyAlignment="1">
      <alignment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1" fontId="6" fillId="35" borderId="17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1" fontId="6" fillId="35" borderId="12" xfId="0" applyNumberFormat="1" applyFont="1" applyFill="1" applyBorder="1" applyAlignment="1">
      <alignment horizontal="center" vertical="center" wrapText="1"/>
    </xf>
    <xf numFmtId="164" fontId="6" fillId="35" borderId="12" xfId="0" applyNumberFormat="1" applyFont="1" applyFill="1" applyBorder="1" applyAlignment="1">
      <alignment horizontal="center" vertical="center"/>
    </xf>
    <xf numFmtId="164" fontId="6" fillId="35" borderId="12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1" fontId="6" fillId="35" borderId="17" xfId="0" applyNumberFormat="1" applyFont="1" applyFill="1" applyBorder="1" applyAlignment="1">
      <alignment horizontal="center" vertical="center"/>
    </xf>
    <xf numFmtId="164" fontId="6" fillId="35" borderId="17" xfId="0" applyNumberFormat="1" applyFont="1" applyFill="1" applyBorder="1" applyAlignment="1">
      <alignment horizontal="center" vertical="center"/>
    </xf>
    <xf numFmtId="2" fontId="6" fillId="35" borderId="17" xfId="0" applyNumberFormat="1" applyFont="1" applyFill="1" applyBorder="1" applyAlignment="1">
      <alignment horizontal="center" vertical="center" wrapText="1"/>
    </xf>
    <xf numFmtId="164" fontId="6" fillId="35" borderId="17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vertical="center" wrapText="1"/>
    </xf>
    <xf numFmtId="1" fontId="6" fillId="35" borderId="14" xfId="0" applyNumberFormat="1" applyFont="1" applyFill="1" applyBorder="1" applyAlignment="1">
      <alignment horizontal="center" vertical="center" wrapText="1"/>
    </xf>
    <xf numFmtId="164" fontId="6" fillId="35" borderId="14" xfId="0" applyNumberFormat="1" applyFont="1" applyFill="1" applyBorder="1" applyAlignment="1">
      <alignment horizontal="center" vertical="center"/>
    </xf>
    <xf numFmtId="164" fontId="6" fillId="35" borderId="14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/>
    </xf>
    <xf numFmtId="1" fontId="6" fillId="35" borderId="15" xfId="0" applyNumberFormat="1" applyFont="1" applyFill="1" applyBorder="1" applyAlignment="1">
      <alignment horizontal="center" vertical="center" wrapText="1"/>
    </xf>
    <xf numFmtId="164" fontId="6" fillId="35" borderId="15" xfId="0" applyNumberFormat="1" applyFont="1" applyFill="1" applyBorder="1" applyAlignment="1">
      <alignment horizontal="center" vertical="center"/>
    </xf>
    <xf numFmtId="164" fontId="6" fillId="35" borderId="15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1" fontId="4" fillId="35" borderId="24" xfId="0" applyNumberFormat="1" applyFont="1" applyFill="1" applyBorder="1" applyAlignment="1">
      <alignment horizontal="center" vertical="center"/>
    </xf>
    <xf numFmtId="164" fontId="6" fillId="35" borderId="24" xfId="0" applyNumberFormat="1" applyFont="1" applyFill="1" applyBorder="1" applyAlignment="1">
      <alignment horizontal="center" vertical="center"/>
    </xf>
    <xf numFmtId="164" fontId="6" fillId="35" borderId="23" xfId="0" applyNumberFormat="1" applyFont="1" applyFill="1" applyBorder="1" applyAlignment="1">
      <alignment horizontal="center" vertical="center"/>
    </xf>
    <xf numFmtId="164" fontId="10" fillId="35" borderId="23" xfId="0" applyNumberFormat="1" applyFont="1" applyFill="1" applyBorder="1" applyAlignment="1">
      <alignment horizontal="center" vertical="center"/>
    </xf>
    <xf numFmtId="166" fontId="13" fillId="35" borderId="18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164" fontId="6" fillId="35" borderId="18" xfId="0" applyNumberFormat="1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 vertical="center" wrapText="1"/>
    </xf>
    <xf numFmtId="1" fontId="4" fillId="35" borderId="17" xfId="0" applyNumberFormat="1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/>
    </xf>
    <xf numFmtId="0" fontId="13" fillId="35" borderId="1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1" fontId="4" fillId="35" borderId="13" xfId="0" applyNumberFormat="1" applyFont="1" applyFill="1" applyBorder="1" applyAlignment="1">
      <alignment horizontal="center" vertical="center"/>
    </xf>
    <xf numFmtId="164" fontId="6" fillId="35" borderId="13" xfId="0" applyNumberFormat="1" applyFont="1" applyFill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top" wrapText="1"/>
    </xf>
    <xf numFmtId="164" fontId="4" fillId="35" borderId="12" xfId="0" applyNumberFormat="1" applyFont="1" applyFill="1" applyBorder="1" applyAlignment="1">
      <alignment horizontal="center" vertical="top" wrapText="1"/>
    </xf>
    <xf numFmtId="164" fontId="4" fillId="35" borderId="26" xfId="0" applyNumberFormat="1" applyFont="1" applyFill="1" applyBorder="1" applyAlignment="1">
      <alignment horizontal="center" vertical="top" wrapText="1"/>
    </xf>
    <xf numFmtId="164" fontId="6" fillId="35" borderId="18" xfId="0" applyNumberFormat="1" applyFont="1" applyFill="1" applyBorder="1" applyAlignment="1">
      <alignment horizontal="center" vertical="top" wrapText="1"/>
    </xf>
    <xf numFmtId="1" fontId="6" fillId="35" borderId="27" xfId="0" applyNumberFormat="1" applyFont="1" applyFill="1" applyBorder="1" applyAlignment="1">
      <alignment horizontal="center" vertical="top" wrapText="1"/>
    </xf>
    <xf numFmtId="164" fontId="4" fillId="35" borderId="17" xfId="0" applyNumberFormat="1" applyFont="1" applyFill="1" applyBorder="1" applyAlignment="1">
      <alignment horizontal="center" vertical="top" wrapText="1"/>
    </xf>
    <xf numFmtId="164" fontId="4" fillId="35" borderId="19" xfId="0" applyNumberFormat="1" applyFont="1" applyFill="1" applyBorder="1" applyAlignment="1">
      <alignment horizontal="center" vertical="top" wrapText="1"/>
    </xf>
    <xf numFmtId="164" fontId="6" fillId="35" borderId="18" xfId="0" applyNumberFormat="1" applyFont="1" applyFill="1" applyBorder="1" applyAlignment="1">
      <alignment horizontal="center" vertical="top"/>
    </xf>
    <xf numFmtId="0" fontId="6" fillId="35" borderId="18" xfId="0" applyFont="1" applyFill="1" applyBorder="1" applyAlignment="1">
      <alignment horizontal="center"/>
    </xf>
    <xf numFmtId="1" fontId="6" fillId="35" borderId="12" xfId="0" applyNumberFormat="1" applyFont="1" applyFill="1" applyBorder="1" applyAlignment="1">
      <alignment horizontal="center" vertical="top" wrapText="1"/>
    </xf>
    <xf numFmtId="0" fontId="6" fillId="35" borderId="28" xfId="0" applyFont="1" applyFill="1" applyBorder="1" applyAlignment="1">
      <alignment horizontal="left" vertical="top" wrapText="1"/>
    </xf>
    <xf numFmtId="164" fontId="13" fillId="35" borderId="14" xfId="0" applyNumberFormat="1" applyFont="1" applyFill="1" applyBorder="1" applyAlignment="1">
      <alignment horizontal="center" vertical="top" wrapText="1"/>
    </xf>
    <xf numFmtId="164" fontId="6" fillId="35" borderId="29" xfId="0" applyNumberFormat="1" applyFont="1" applyFill="1" applyBorder="1" applyAlignment="1">
      <alignment horizontal="center" vertical="top" wrapText="1"/>
    </xf>
    <xf numFmtId="1" fontId="6" fillId="35" borderId="29" xfId="0" applyNumberFormat="1" applyFont="1" applyFill="1" applyBorder="1" applyAlignment="1">
      <alignment horizontal="center" vertical="top" wrapText="1"/>
    </xf>
    <xf numFmtId="164" fontId="4" fillId="35" borderId="14" xfId="0" applyNumberFormat="1" applyFont="1" applyFill="1" applyBorder="1" applyAlignment="1">
      <alignment horizontal="center" vertical="top" wrapText="1"/>
    </xf>
    <xf numFmtId="164" fontId="4" fillId="35" borderId="28" xfId="0" applyNumberFormat="1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 wrapText="1"/>
    </xf>
    <xf numFmtId="0" fontId="6" fillId="35" borderId="30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/>
    </xf>
    <xf numFmtId="0" fontId="6" fillId="35" borderId="21" xfId="0" applyFont="1" applyFill="1" applyBorder="1" applyAlignment="1">
      <alignment vertical="top" wrapText="1"/>
    </xf>
    <xf numFmtId="0" fontId="13" fillId="35" borderId="12" xfId="0" applyFont="1" applyFill="1" applyBorder="1" applyAlignment="1">
      <alignment horizontal="center" vertical="top" wrapText="1"/>
    </xf>
    <xf numFmtId="1" fontId="6" fillId="35" borderId="30" xfId="0" applyNumberFormat="1" applyFont="1" applyFill="1" applyBorder="1" applyAlignment="1">
      <alignment horizontal="center" vertical="top" wrapText="1"/>
    </xf>
    <xf numFmtId="164" fontId="4" fillId="35" borderId="18" xfId="0" applyNumberFormat="1" applyFont="1" applyFill="1" applyBorder="1" applyAlignment="1">
      <alignment horizontal="center" vertical="top"/>
    </xf>
    <xf numFmtId="164" fontId="4" fillId="35" borderId="18" xfId="0" applyNumberFormat="1" applyFont="1" applyFill="1" applyBorder="1" applyAlignment="1">
      <alignment horizontal="center" vertical="top" wrapText="1"/>
    </xf>
    <xf numFmtId="164" fontId="4" fillId="35" borderId="21" xfId="0" applyNumberFormat="1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1" fontId="10" fillId="35" borderId="12" xfId="0" applyNumberFormat="1" applyFont="1" applyFill="1" applyBorder="1" applyAlignment="1">
      <alignment horizontal="center" vertical="top"/>
    </xf>
    <xf numFmtId="1" fontId="10" fillId="35" borderId="12" xfId="0" applyNumberFormat="1" applyFont="1" applyFill="1" applyBorder="1" applyAlignment="1">
      <alignment horizontal="center" vertical="top" wrapText="1"/>
    </xf>
    <xf numFmtId="164" fontId="6" fillId="35" borderId="12" xfId="0" applyNumberFormat="1" applyFont="1" applyFill="1" applyBorder="1" applyAlignment="1">
      <alignment vertical="top"/>
    </xf>
    <xf numFmtId="1" fontId="4" fillId="35" borderId="12" xfId="0" applyNumberFormat="1" applyFont="1" applyFill="1" applyBorder="1" applyAlignment="1">
      <alignment vertical="top"/>
    </xf>
    <xf numFmtId="1" fontId="10" fillId="35" borderId="13" xfId="0" applyNumberFormat="1" applyFont="1" applyFill="1" applyBorder="1" applyAlignment="1">
      <alignment horizontal="center" vertical="top" wrapText="1"/>
    </xf>
    <xf numFmtId="164" fontId="6" fillId="35" borderId="13" xfId="0" applyNumberFormat="1" applyFont="1" applyFill="1" applyBorder="1" applyAlignment="1">
      <alignment horizontal="center" vertical="top"/>
    </xf>
    <xf numFmtId="164" fontId="4" fillId="35" borderId="13" xfId="0" applyNumberFormat="1" applyFont="1" applyFill="1" applyBorder="1" applyAlignment="1">
      <alignment horizontal="center" vertical="top" wrapText="1"/>
    </xf>
    <xf numFmtId="1" fontId="4" fillId="35" borderId="13" xfId="0" applyNumberFormat="1" applyFont="1" applyFill="1" applyBorder="1" applyAlignment="1">
      <alignment horizontal="center" vertical="top"/>
    </xf>
    <xf numFmtId="0" fontId="4" fillId="35" borderId="18" xfId="0" applyFont="1" applyFill="1" applyBorder="1" applyAlignment="1">
      <alignment vertical="top" wrapText="1"/>
    </xf>
    <xf numFmtId="1" fontId="6" fillId="35" borderId="18" xfId="0" applyNumberFormat="1" applyFont="1" applyFill="1" applyBorder="1" applyAlignment="1">
      <alignment horizontal="center" vertical="top" wrapText="1"/>
    </xf>
    <xf numFmtId="1" fontId="4" fillId="35" borderId="18" xfId="0" applyNumberFormat="1" applyFont="1" applyFill="1" applyBorder="1" applyAlignment="1">
      <alignment horizontal="center" vertical="top"/>
    </xf>
    <xf numFmtId="1" fontId="4" fillId="35" borderId="12" xfId="0" applyNumberFormat="1" applyFont="1" applyFill="1" applyBorder="1" applyAlignment="1">
      <alignment horizontal="center" vertical="top"/>
    </xf>
    <xf numFmtId="0" fontId="6" fillId="35" borderId="12" xfId="0" applyFont="1" applyFill="1" applyBorder="1" applyAlignment="1">
      <alignment vertical="top" wrapText="1"/>
    </xf>
    <xf numFmtId="1" fontId="6" fillId="35" borderId="26" xfId="0" applyNumberFormat="1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/>
    </xf>
    <xf numFmtId="1" fontId="4" fillId="35" borderId="16" xfId="0" applyNumberFormat="1" applyFont="1" applyFill="1" applyBorder="1" applyAlignment="1">
      <alignment horizontal="center" vertical="top"/>
    </xf>
    <xf numFmtId="164" fontId="4" fillId="35" borderId="26" xfId="0" applyNumberFormat="1" applyFont="1" applyFill="1" applyBorder="1" applyAlignment="1">
      <alignment horizontal="center" vertical="top"/>
    </xf>
    <xf numFmtId="0" fontId="4" fillId="35" borderId="12" xfId="0" applyFont="1" applyFill="1" applyBorder="1" applyAlignment="1">
      <alignment horizontal="center" vertical="top"/>
    </xf>
    <xf numFmtId="1" fontId="4" fillId="35" borderId="12" xfId="0" applyNumberFormat="1" applyFont="1" applyFill="1" applyBorder="1" applyAlignment="1">
      <alignment horizontal="center" vertical="top" wrapText="1"/>
    </xf>
    <xf numFmtId="1" fontId="4" fillId="35" borderId="17" xfId="0" applyNumberFormat="1" applyFont="1" applyFill="1" applyBorder="1" applyAlignment="1">
      <alignment horizontal="center" vertical="top" wrapText="1"/>
    </xf>
    <xf numFmtId="1" fontId="6" fillId="35" borderId="17" xfId="0" applyNumberFormat="1" applyFont="1" applyFill="1" applyBorder="1" applyAlignment="1">
      <alignment horizontal="center" vertical="top" wrapText="1"/>
    </xf>
    <xf numFmtId="1" fontId="6" fillId="35" borderId="14" xfId="0" applyNumberFormat="1" applyFont="1" applyFill="1" applyBorder="1" applyAlignment="1">
      <alignment horizontal="center" vertical="top" wrapText="1"/>
    </xf>
    <xf numFmtId="164" fontId="4" fillId="35" borderId="28" xfId="0" applyNumberFormat="1" applyFont="1" applyFill="1" applyBorder="1" applyAlignment="1">
      <alignment horizontal="center" vertical="top"/>
    </xf>
    <xf numFmtId="0" fontId="4" fillId="35" borderId="28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left" vertical="top" wrapText="1"/>
    </xf>
    <xf numFmtId="0" fontId="4" fillId="35" borderId="21" xfId="0" applyFont="1" applyFill="1" applyBorder="1" applyAlignment="1">
      <alignment horizontal="center" vertical="top" wrapText="1"/>
    </xf>
    <xf numFmtId="0" fontId="4" fillId="35" borderId="28" xfId="0" applyFont="1" applyFill="1" applyBorder="1" applyAlignment="1">
      <alignment vertical="top" wrapText="1"/>
    </xf>
    <xf numFmtId="0" fontId="6" fillId="35" borderId="17" xfId="0" applyFont="1" applyFill="1" applyBorder="1" applyAlignment="1">
      <alignment vertical="top" wrapText="1"/>
    </xf>
    <xf numFmtId="1" fontId="6" fillId="35" borderId="19" xfId="0" applyNumberFormat="1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left" vertical="top" wrapText="1"/>
    </xf>
    <xf numFmtId="0" fontId="10" fillId="35" borderId="12" xfId="0" applyNumberFormat="1" applyFont="1" applyFill="1" applyBorder="1" applyAlignment="1">
      <alignment horizontal="center" vertical="top"/>
    </xf>
    <xf numFmtId="2" fontId="4" fillId="35" borderId="12" xfId="0" applyNumberFormat="1" applyFont="1" applyFill="1" applyBorder="1" applyAlignment="1">
      <alignment horizontal="center" vertical="top"/>
    </xf>
    <xf numFmtId="164" fontId="4" fillId="35" borderId="13" xfId="0" applyNumberFormat="1" applyFont="1" applyFill="1" applyBorder="1" applyAlignment="1">
      <alignment horizontal="center" vertical="top"/>
    </xf>
    <xf numFmtId="1" fontId="4" fillId="35" borderId="29" xfId="0" applyNumberFormat="1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 vertical="top"/>
    </xf>
    <xf numFmtId="0" fontId="4" fillId="35" borderId="28" xfId="0" applyFont="1" applyFill="1" applyBorder="1" applyAlignment="1">
      <alignment horizontal="center" vertical="top"/>
    </xf>
    <xf numFmtId="0" fontId="4" fillId="35" borderId="26" xfId="0" applyFont="1" applyFill="1" applyBorder="1" applyAlignment="1">
      <alignment horizontal="center" vertical="top"/>
    </xf>
    <xf numFmtId="0" fontId="4" fillId="35" borderId="19" xfId="0" applyFont="1" applyFill="1" applyBorder="1" applyAlignment="1">
      <alignment horizontal="center" vertical="top"/>
    </xf>
    <xf numFmtId="0" fontId="4" fillId="35" borderId="21" xfId="0" applyFont="1" applyFill="1" applyBorder="1" applyAlignment="1">
      <alignment horizontal="center" vertical="top"/>
    </xf>
    <xf numFmtId="1" fontId="4" fillId="35" borderId="19" xfId="0" applyNumberFormat="1" applyFont="1" applyFill="1" applyBorder="1" applyAlignment="1">
      <alignment horizontal="center" vertical="top"/>
    </xf>
    <xf numFmtId="0" fontId="4" fillId="35" borderId="17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top"/>
    </xf>
    <xf numFmtId="1" fontId="4" fillId="35" borderId="28" xfId="0" applyNumberFormat="1" applyFont="1" applyFill="1" applyBorder="1" applyAlignment="1">
      <alignment horizontal="center" vertical="top"/>
    </xf>
    <xf numFmtId="0" fontId="4" fillId="35" borderId="11" xfId="0" applyFont="1" applyFill="1" applyBorder="1" applyAlignment="1">
      <alignment horizontal="center" vertical="top"/>
    </xf>
    <xf numFmtId="1" fontId="4" fillId="35" borderId="21" xfId="0" applyNumberFormat="1" applyFont="1" applyFill="1" applyBorder="1" applyAlignment="1">
      <alignment horizontal="center" vertical="top"/>
    </xf>
    <xf numFmtId="0" fontId="4" fillId="35" borderId="18" xfId="0" applyFont="1" applyFill="1" applyBorder="1" applyAlignment="1">
      <alignment horizontal="center" vertical="top"/>
    </xf>
    <xf numFmtId="0" fontId="4" fillId="35" borderId="0" xfId="0" applyFont="1" applyFill="1" applyBorder="1" applyAlignment="1">
      <alignment horizontal="center" vertical="top"/>
    </xf>
    <xf numFmtId="0" fontId="6" fillId="35" borderId="19" xfId="0" applyFont="1" applyFill="1" applyBorder="1" applyAlignment="1">
      <alignment horizontal="left" vertical="top" wrapText="1"/>
    </xf>
    <xf numFmtId="0" fontId="6" fillId="35" borderId="19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14" fontId="6" fillId="35" borderId="19" xfId="0" applyNumberFormat="1" applyFont="1" applyFill="1" applyBorder="1" applyAlignment="1">
      <alignment horizontal="left" vertical="top" wrapText="1"/>
    </xf>
    <xf numFmtId="0" fontId="4" fillId="35" borderId="17" xfId="0" applyFont="1" applyFill="1" applyBorder="1" applyAlignment="1">
      <alignment horizontal="center" vertical="top" wrapText="1"/>
    </xf>
    <xf numFmtId="1" fontId="16" fillId="35" borderId="12" xfId="0" applyNumberFormat="1" applyFont="1" applyFill="1" applyBorder="1" applyAlignment="1">
      <alignment horizontal="center" vertical="top"/>
    </xf>
    <xf numFmtId="0" fontId="4" fillId="35" borderId="13" xfId="0" applyFont="1" applyFill="1" applyBorder="1" applyAlignment="1">
      <alignment horizontal="center" vertical="top"/>
    </xf>
    <xf numFmtId="0" fontId="6" fillId="35" borderId="20" xfId="0" applyFont="1" applyFill="1" applyBorder="1" applyAlignment="1">
      <alignment horizontal="center" vertical="top"/>
    </xf>
    <xf numFmtId="0" fontId="13" fillId="35" borderId="15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1" fontId="16" fillId="35" borderId="15" xfId="0" applyNumberFormat="1" applyFont="1" applyFill="1" applyBorder="1" applyAlignment="1">
      <alignment horizontal="center" vertical="top"/>
    </xf>
    <xf numFmtId="164" fontId="4" fillId="35" borderId="15" xfId="0" applyNumberFormat="1" applyFont="1" applyFill="1" applyBorder="1" applyAlignment="1">
      <alignment horizontal="center" vertical="top"/>
    </xf>
    <xf numFmtId="0" fontId="4" fillId="35" borderId="31" xfId="0" applyFont="1" applyFill="1" applyBorder="1" applyAlignment="1">
      <alignment horizontal="center" vertical="top"/>
    </xf>
    <xf numFmtId="0" fontId="6" fillId="35" borderId="32" xfId="0" applyFont="1" applyFill="1" applyBorder="1" applyAlignment="1">
      <alignment horizontal="center" vertical="top"/>
    </xf>
    <xf numFmtId="1" fontId="6" fillId="35" borderId="19" xfId="0" applyNumberFormat="1" applyFont="1" applyFill="1" applyBorder="1" applyAlignment="1">
      <alignment horizontal="center" vertical="top"/>
    </xf>
    <xf numFmtId="1" fontId="6" fillId="35" borderId="21" xfId="0" applyNumberFormat="1" applyFont="1" applyFill="1" applyBorder="1" applyAlignment="1">
      <alignment horizontal="center" vertical="top"/>
    </xf>
    <xf numFmtId="1" fontId="6" fillId="35" borderId="28" xfId="0" applyNumberFormat="1" applyFont="1" applyFill="1" applyBorder="1" applyAlignment="1">
      <alignment horizontal="center" vertical="top"/>
    </xf>
    <xf numFmtId="1" fontId="4" fillId="35" borderId="26" xfId="0" applyNumberFormat="1" applyFont="1" applyFill="1" applyBorder="1" applyAlignment="1">
      <alignment horizontal="center" vertical="top"/>
    </xf>
    <xf numFmtId="164" fontId="6" fillId="35" borderId="26" xfId="0" applyNumberFormat="1" applyFont="1" applyFill="1" applyBorder="1" applyAlignment="1">
      <alignment horizontal="center" vertical="top"/>
    </xf>
    <xf numFmtId="164" fontId="4" fillId="35" borderId="33" xfId="0" applyNumberFormat="1" applyFont="1" applyFill="1" applyBorder="1" applyAlignment="1">
      <alignment horizontal="center" vertical="top"/>
    </xf>
    <xf numFmtId="1" fontId="6" fillId="35" borderId="10" xfId="0" applyNumberFormat="1" applyFont="1" applyFill="1" applyBorder="1" applyAlignment="1">
      <alignment horizontal="center" vertical="top"/>
    </xf>
    <xf numFmtId="1" fontId="6" fillId="35" borderId="0" xfId="0" applyNumberFormat="1" applyFont="1" applyFill="1" applyBorder="1" applyAlignment="1">
      <alignment horizontal="center" vertical="top"/>
    </xf>
    <xf numFmtId="164" fontId="4" fillId="35" borderId="17" xfId="0" applyNumberFormat="1" applyFont="1" applyFill="1" applyBorder="1" applyAlignment="1">
      <alignment vertical="top"/>
    </xf>
    <xf numFmtId="1" fontId="6" fillId="35" borderId="18" xfId="0" applyNumberFormat="1" applyFont="1" applyFill="1" applyBorder="1" applyAlignment="1">
      <alignment vertical="top"/>
    </xf>
    <xf numFmtId="1" fontId="4" fillId="35" borderId="14" xfId="0" applyNumberFormat="1" applyFont="1" applyFill="1" applyBorder="1" applyAlignment="1">
      <alignment vertical="top"/>
    </xf>
    <xf numFmtId="164" fontId="4" fillId="35" borderId="14" xfId="0" applyNumberFormat="1" applyFont="1" applyFill="1" applyBorder="1" applyAlignment="1">
      <alignment vertical="top"/>
    </xf>
    <xf numFmtId="164" fontId="4" fillId="35" borderId="10" xfId="0" applyNumberFormat="1" applyFont="1" applyFill="1" applyBorder="1" applyAlignment="1">
      <alignment horizontal="center" vertical="top"/>
    </xf>
    <xf numFmtId="1" fontId="6" fillId="35" borderId="18" xfId="0" applyNumberFormat="1" applyFont="1" applyFill="1" applyBorder="1" applyAlignment="1">
      <alignment horizontal="center" vertical="top"/>
    </xf>
    <xf numFmtId="164" fontId="4" fillId="35" borderId="11" xfId="0" applyNumberFormat="1" applyFont="1" applyFill="1" applyBorder="1" applyAlignment="1">
      <alignment horizontal="center" vertical="top"/>
    </xf>
    <xf numFmtId="1" fontId="6" fillId="35" borderId="29" xfId="0" applyNumberFormat="1" applyFont="1" applyFill="1" applyBorder="1" applyAlignment="1">
      <alignment horizontal="center" vertical="top"/>
    </xf>
    <xf numFmtId="1" fontId="4" fillId="35" borderId="14" xfId="0" applyNumberFormat="1" applyFont="1" applyFill="1" applyBorder="1" applyAlignment="1">
      <alignment horizontal="center" vertical="top"/>
    </xf>
    <xf numFmtId="1" fontId="6" fillId="35" borderId="17" xfId="0" applyNumberFormat="1" applyFont="1" applyFill="1" applyBorder="1" applyAlignment="1">
      <alignment horizontal="center" vertical="top"/>
    </xf>
    <xf numFmtId="1" fontId="4" fillId="35" borderId="0" xfId="0" applyNumberFormat="1" applyFont="1" applyFill="1" applyBorder="1" applyAlignment="1">
      <alignment horizontal="center" vertical="top"/>
    </xf>
    <xf numFmtId="164" fontId="6" fillId="35" borderId="0" xfId="0" applyNumberFormat="1" applyFont="1" applyFill="1" applyBorder="1" applyAlignment="1">
      <alignment horizontal="center" vertical="top"/>
    </xf>
    <xf numFmtId="164" fontId="4" fillId="35" borderId="0" xfId="0" applyNumberFormat="1" applyFont="1" applyFill="1" applyBorder="1" applyAlignment="1">
      <alignment horizontal="center" vertical="top"/>
    </xf>
    <xf numFmtId="1" fontId="6" fillId="35" borderId="26" xfId="0" applyNumberFormat="1" applyFont="1" applyFill="1" applyBorder="1" applyAlignment="1">
      <alignment horizontal="center" vertical="top"/>
    </xf>
    <xf numFmtId="164" fontId="4" fillId="35" borderId="12" xfId="0" applyNumberFormat="1" applyFont="1" applyFill="1" applyBorder="1" applyAlignment="1">
      <alignment vertical="top"/>
    </xf>
    <xf numFmtId="164" fontId="11" fillId="35" borderId="26" xfId="0" applyNumberFormat="1" applyFont="1" applyFill="1" applyBorder="1" applyAlignment="1">
      <alignment horizontal="center" vertical="top" wrapText="1"/>
    </xf>
    <xf numFmtId="1" fontId="4" fillId="35" borderId="12" xfId="0" applyNumberFormat="1" applyFont="1" applyFill="1" applyBorder="1" applyAlignment="1">
      <alignment horizontal="center"/>
    </xf>
    <xf numFmtId="164" fontId="4" fillId="35" borderId="12" xfId="0" applyNumberFormat="1" applyFont="1" applyFill="1" applyBorder="1" applyAlignment="1">
      <alignment horizontal="center"/>
    </xf>
    <xf numFmtId="164" fontId="11" fillId="35" borderId="12" xfId="0" applyNumberFormat="1" applyFont="1" applyFill="1" applyBorder="1" applyAlignment="1">
      <alignment horizontal="center" vertical="top" wrapText="1"/>
    </xf>
    <xf numFmtId="164" fontId="11" fillId="35" borderId="17" xfId="0" applyNumberFormat="1" applyFont="1" applyFill="1" applyBorder="1" applyAlignment="1">
      <alignment horizontal="center" vertical="top" wrapText="1"/>
    </xf>
    <xf numFmtId="164" fontId="11" fillId="35" borderId="18" xfId="0" applyNumberFormat="1" applyFont="1" applyFill="1" applyBorder="1" applyAlignment="1">
      <alignment horizontal="center" vertical="top" wrapText="1"/>
    </xf>
    <xf numFmtId="164" fontId="11" fillId="35" borderId="17" xfId="0" applyNumberFormat="1" applyFont="1" applyFill="1" applyBorder="1" applyAlignment="1">
      <alignment vertical="top" wrapText="1"/>
    </xf>
    <xf numFmtId="164" fontId="11" fillId="35" borderId="14" xfId="0" applyNumberFormat="1" applyFont="1" applyFill="1" applyBorder="1" applyAlignment="1">
      <alignment vertical="top" wrapText="1"/>
    </xf>
    <xf numFmtId="164" fontId="11" fillId="35" borderId="18" xfId="0" applyNumberFormat="1" applyFont="1" applyFill="1" applyBorder="1" applyAlignment="1">
      <alignment vertical="top" wrapText="1"/>
    </xf>
    <xf numFmtId="0" fontId="6" fillId="35" borderId="18" xfId="0" applyFont="1" applyFill="1" applyBorder="1" applyAlignment="1">
      <alignment vertical="top"/>
    </xf>
    <xf numFmtId="164" fontId="11" fillId="35" borderId="14" xfId="0" applyNumberFormat="1" applyFont="1" applyFill="1" applyBorder="1" applyAlignment="1">
      <alignment horizontal="center" vertical="top" wrapText="1"/>
    </xf>
    <xf numFmtId="1" fontId="6" fillId="35" borderId="14" xfId="0" applyNumberFormat="1" applyFont="1" applyFill="1" applyBorder="1" applyAlignment="1">
      <alignment vertical="top"/>
    </xf>
    <xf numFmtId="0" fontId="6" fillId="35" borderId="14" xfId="0" applyFont="1" applyFill="1" applyBorder="1" applyAlignment="1">
      <alignment vertical="top"/>
    </xf>
    <xf numFmtId="164" fontId="11" fillId="35" borderId="12" xfId="0" applyNumberFormat="1" applyFont="1" applyFill="1" applyBorder="1" applyAlignment="1">
      <alignment vertical="top" wrapText="1"/>
    </xf>
    <xf numFmtId="164" fontId="4" fillId="35" borderId="18" xfId="0" applyNumberFormat="1" applyFont="1" applyFill="1" applyBorder="1" applyAlignment="1">
      <alignment vertical="top"/>
    </xf>
    <xf numFmtId="0" fontId="6" fillId="35" borderId="14" xfId="0" applyFont="1" applyFill="1" applyBorder="1" applyAlignment="1">
      <alignment vertical="top" wrapText="1"/>
    </xf>
    <xf numFmtId="0" fontId="13" fillId="35" borderId="14" xfId="0" applyFont="1" applyFill="1" applyBorder="1" applyAlignment="1">
      <alignment vertical="top" wrapText="1"/>
    </xf>
    <xf numFmtId="164" fontId="6" fillId="35" borderId="18" xfId="0" applyNumberFormat="1" applyFont="1" applyFill="1" applyBorder="1" applyAlignment="1">
      <alignment vertical="top"/>
    </xf>
    <xf numFmtId="1" fontId="6" fillId="35" borderId="11" xfId="0" applyNumberFormat="1" applyFont="1" applyFill="1" applyBorder="1" applyAlignment="1">
      <alignment horizontal="center" vertical="top"/>
    </xf>
    <xf numFmtId="164" fontId="6" fillId="35" borderId="12" xfId="0" applyNumberFormat="1" applyFont="1" applyFill="1" applyBorder="1" applyAlignment="1">
      <alignment horizontal="center" vertical="top" wrapText="1"/>
    </xf>
    <xf numFmtId="1" fontId="16" fillId="35" borderId="14" xfId="0" applyNumberFormat="1" applyFont="1" applyFill="1" applyBorder="1" applyAlignment="1">
      <alignment horizontal="center" vertical="top"/>
    </xf>
    <xf numFmtId="164" fontId="6" fillId="35" borderId="14" xfId="0" applyNumberFormat="1" applyFont="1" applyFill="1" applyBorder="1" applyAlignment="1">
      <alignment horizontal="center" vertical="top" wrapText="1"/>
    </xf>
    <xf numFmtId="164" fontId="4" fillId="35" borderId="29" xfId="0" applyNumberFormat="1" applyFont="1" applyFill="1" applyBorder="1" applyAlignment="1">
      <alignment horizontal="center" vertical="top"/>
    </xf>
    <xf numFmtId="164" fontId="6" fillId="35" borderId="28" xfId="0" applyNumberFormat="1" applyFont="1" applyFill="1" applyBorder="1" applyAlignment="1">
      <alignment horizontal="center" vertical="top" wrapText="1"/>
    </xf>
    <xf numFmtId="164" fontId="6" fillId="35" borderId="17" xfId="0" applyNumberFormat="1" applyFont="1" applyFill="1" applyBorder="1" applyAlignment="1">
      <alignment horizontal="center" vertical="top" wrapText="1"/>
    </xf>
    <xf numFmtId="164" fontId="6" fillId="35" borderId="19" xfId="0" applyNumberFormat="1" applyFont="1" applyFill="1" applyBorder="1" applyAlignment="1">
      <alignment horizontal="center" vertical="top" wrapText="1"/>
    </xf>
    <xf numFmtId="164" fontId="4" fillId="35" borderId="21" xfId="0" applyNumberFormat="1" applyFont="1" applyFill="1" applyBorder="1" applyAlignment="1">
      <alignment horizontal="center" vertical="top"/>
    </xf>
    <xf numFmtId="1" fontId="6" fillId="35" borderId="0" xfId="0" applyNumberFormat="1" applyFont="1" applyFill="1" applyBorder="1" applyAlignment="1">
      <alignment horizontal="center" vertical="top" wrapText="1"/>
    </xf>
    <xf numFmtId="164" fontId="6" fillId="35" borderId="0" xfId="0" applyNumberFormat="1" applyFont="1" applyFill="1" applyBorder="1" applyAlignment="1">
      <alignment horizontal="center" vertical="top" wrapText="1"/>
    </xf>
    <xf numFmtId="164" fontId="6" fillId="35" borderId="33" xfId="0" applyNumberFormat="1" applyFont="1" applyFill="1" applyBorder="1" applyAlignment="1">
      <alignment horizontal="center" vertical="top" wrapText="1"/>
    </xf>
    <xf numFmtId="164" fontId="4" fillId="35" borderId="16" xfId="0" applyNumberFormat="1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top" wrapText="1"/>
    </xf>
    <xf numFmtId="0" fontId="6" fillId="35" borderId="28" xfId="0" applyFont="1" applyFill="1" applyBorder="1" applyAlignment="1">
      <alignment horizontal="center" vertical="top" wrapText="1"/>
    </xf>
    <xf numFmtId="164" fontId="6" fillId="35" borderId="10" xfId="0" applyNumberFormat="1" applyFont="1" applyFill="1" applyBorder="1" applyAlignment="1">
      <alignment horizontal="center" vertical="top" wrapText="1"/>
    </xf>
    <xf numFmtId="1" fontId="6" fillId="35" borderId="28" xfId="0" applyNumberFormat="1" applyFont="1" applyFill="1" applyBorder="1" applyAlignment="1">
      <alignment horizontal="center" vertical="top" wrapText="1"/>
    </xf>
    <xf numFmtId="164" fontId="6" fillId="35" borderId="11" xfId="0" applyNumberFormat="1" applyFont="1" applyFill="1" applyBorder="1" applyAlignment="1">
      <alignment horizontal="center" vertical="top" wrapText="1"/>
    </xf>
    <xf numFmtId="1" fontId="10" fillId="35" borderId="14" xfId="0" applyNumberFormat="1" applyFont="1" applyFill="1" applyBorder="1" applyAlignment="1">
      <alignment horizontal="center" vertical="top" wrapText="1"/>
    </xf>
    <xf numFmtId="164" fontId="6" fillId="35" borderId="13" xfId="0" applyNumberFormat="1" applyFont="1" applyFill="1" applyBorder="1" applyAlignment="1">
      <alignment horizontal="center" vertical="top" wrapText="1"/>
    </xf>
    <xf numFmtId="164" fontId="6" fillId="35" borderId="33" xfId="0" applyNumberFormat="1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 wrapText="1"/>
    </xf>
    <xf numFmtId="1" fontId="4" fillId="35" borderId="27" xfId="0" applyNumberFormat="1" applyFont="1" applyFill="1" applyBorder="1" applyAlignment="1">
      <alignment horizontal="center" vertical="top"/>
    </xf>
    <xf numFmtId="164" fontId="6" fillId="35" borderId="29" xfId="0" applyNumberFormat="1" applyFont="1" applyFill="1" applyBorder="1" applyAlignment="1">
      <alignment horizontal="center" vertical="top"/>
    </xf>
    <xf numFmtId="164" fontId="4" fillId="35" borderId="30" xfId="0" applyNumberFormat="1" applyFont="1" applyFill="1" applyBorder="1" applyAlignment="1">
      <alignment horizontal="center" vertical="top"/>
    </xf>
    <xf numFmtId="0" fontId="4" fillId="35" borderId="21" xfId="0" applyFont="1" applyFill="1" applyBorder="1" applyAlignment="1">
      <alignment horizontal="left" vertical="top" wrapText="1"/>
    </xf>
    <xf numFmtId="1" fontId="4" fillId="35" borderId="30" xfId="0" applyNumberFormat="1" applyFont="1" applyFill="1" applyBorder="1" applyAlignment="1">
      <alignment horizontal="center" vertical="top"/>
    </xf>
    <xf numFmtId="0" fontId="4" fillId="35" borderId="18" xfId="0" applyFont="1" applyFill="1" applyBorder="1" applyAlignment="1">
      <alignment wrapText="1"/>
    </xf>
    <xf numFmtId="0" fontId="4" fillId="35" borderId="18" xfId="0" applyFont="1" applyFill="1" applyBorder="1" applyAlignment="1">
      <alignment/>
    </xf>
    <xf numFmtId="0" fontId="4" fillId="35" borderId="14" xfId="0" applyFont="1" applyFill="1" applyBorder="1" applyAlignment="1">
      <alignment horizontal="center" vertical="top" wrapText="1"/>
    </xf>
    <xf numFmtId="164" fontId="15" fillId="35" borderId="12" xfId="0" applyNumberFormat="1" applyFont="1" applyFill="1" applyBorder="1" applyAlignment="1">
      <alignment horizontal="center" vertical="top"/>
    </xf>
    <xf numFmtId="164" fontId="6" fillId="35" borderId="28" xfId="0" applyNumberFormat="1" applyFont="1" applyFill="1" applyBorder="1" applyAlignment="1">
      <alignment horizontal="center" vertical="top"/>
    </xf>
    <xf numFmtId="164" fontId="6" fillId="35" borderId="19" xfId="0" applyNumberFormat="1" applyFont="1" applyFill="1" applyBorder="1" applyAlignment="1">
      <alignment horizontal="center" vertical="top"/>
    </xf>
    <xf numFmtId="1" fontId="4" fillId="35" borderId="34" xfId="0" applyNumberFormat="1" applyFont="1" applyFill="1" applyBorder="1" applyAlignment="1">
      <alignment horizontal="center" vertical="top"/>
    </xf>
    <xf numFmtId="164" fontId="4" fillId="35" borderId="34" xfId="0" applyNumberFormat="1" applyFont="1" applyFill="1" applyBorder="1" applyAlignment="1">
      <alignment horizontal="center" vertical="top"/>
    </xf>
    <xf numFmtId="164" fontId="6" fillId="35" borderId="34" xfId="0" applyNumberFormat="1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0" fontId="6" fillId="35" borderId="21" xfId="0" applyFont="1" applyFill="1" applyBorder="1" applyAlignment="1">
      <alignment horizontal="center" vertical="top"/>
    </xf>
    <xf numFmtId="0" fontId="10" fillId="35" borderId="17" xfId="0" applyFont="1" applyFill="1" applyBorder="1" applyAlignment="1">
      <alignment horizontal="left" vertical="top" wrapText="1"/>
    </xf>
    <xf numFmtId="0" fontId="6" fillId="35" borderId="15" xfId="0" applyFont="1" applyFill="1" applyBorder="1" applyAlignment="1">
      <alignment horizontal="left" vertical="top" wrapText="1"/>
    </xf>
    <xf numFmtId="1" fontId="16" fillId="35" borderId="35" xfId="0" applyNumberFormat="1" applyFont="1" applyFill="1" applyBorder="1" applyAlignment="1">
      <alignment horizontal="center" vertical="top"/>
    </xf>
    <xf numFmtId="164" fontId="6" fillId="35" borderId="15" xfId="0" applyNumberFormat="1" applyFont="1" applyFill="1" applyBorder="1" applyAlignment="1">
      <alignment horizontal="center" vertical="top"/>
    </xf>
    <xf numFmtId="164" fontId="6" fillId="35" borderId="25" xfId="0" applyNumberFormat="1" applyFont="1" applyFill="1" applyBorder="1" applyAlignment="1">
      <alignment horizontal="center" vertical="top"/>
    </xf>
    <xf numFmtId="164" fontId="6" fillId="35" borderId="18" xfId="0" applyNumberFormat="1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top" wrapText="1"/>
    </xf>
    <xf numFmtId="1" fontId="4" fillId="35" borderId="11" xfId="0" applyNumberFormat="1" applyFont="1" applyFill="1" applyBorder="1" applyAlignment="1">
      <alignment horizontal="center" vertical="top"/>
    </xf>
    <xf numFmtId="164" fontId="6" fillId="35" borderId="11" xfId="0" applyNumberFormat="1" applyFont="1" applyFill="1" applyBorder="1" applyAlignment="1">
      <alignment horizontal="center" vertical="top"/>
    </xf>
    <xf numFmtId="1" fontId="6" fillId="35" borderId="16" xfId="0" applyNumberFormat="1" applyFont="1" applyFill="1" applyBorder="1" applyAlignment="1">
      <alignment horizontal="center" vertical="top"/>
    </xf>
    <xf numFmtId="0" fontId="6" fillId="35" borderId="21" xfId="0" applyFont="1" applyFill="1" applyBorder="1" applyAlignment="1">
      <alignment horizontal="center" vertical="top" wrapText="1"/>
    </xf>
    <xf numFmtId="164" fontId="6" fillId="35" borderId="10" xfId="0" applyNumberFormat="1" applyFont="1" applyFill="1" applyBorder="1" applyAlignment="1">
      <alignment horizontal="center" vertical="top"/>
    </xf>
    <xf numFmtId="166" fontId="4" fillId="35" borderId="12" xfId="0" applyNumberFormat="1" applyFont="1" applyFill="1" applyBorder="1" applyAlignment="1">
      <alignment horizontal="center" vertical="top"/>
    </xf>
    <xf numFmtId="0" fontId="6" fillId="35" borderId="18" xfId="0" applyFont="1" applyFill="1" applyBorder="1" applyAlignment="1">
      <alignment vertical="top" wrapText="1"/>
    </xf>
    <xf numFmtId="0" fontId="13" fillId="35" borderId="30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/>
    </xf>
    <xf numFmtId="164" fontId="6" fillId="35" borderId="30" xfId="0" applyNumberFormat="1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top" wrapText="1"/>
    </xf>
    <xf numFmtId="1" fontId="16" fillId="35" borderId="30" xfId="0" applyNumberFormat="1" applyFont="1" applyFill="1" applyBorder="1" applyAlignment="1">
      <alignment horizontal="center" vertical="top"/>
    </xf>
    <xf numFmtId="164" fontId="6" fillId="35" borderId="21" xfId="0" applyNumberFormat="1" applyFont="1" applyFill="1" applyBorder="1" applyAlignment="1">
      <alignment horizontal="center" vertical="top"/>
    </xf>
    <xf numFmtId="1" fontId="4" fillId="35" borderId="14" xfId="0" applyNumberFormat="1" applyFont="1" applyFill="1" applyBorder="1" applyAlignment="1">
      <alignment horizontal="center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1" fontId="4" fillId="35" borderId="11" xfId="0" applyNumberFormat="1" applyFont="1" applyFill="1" applyBorder="1" applyAlignment="1">
      <alignment horizontal="center" vertical="top" wrapText="1"/>
    </xf>
    <xf numFmtId="1" fontId="4" fillId="35" borderId="16" xfId="0" applyNumberFormat="1" applyFont="1" applyFill="1" applyBorder="1" applyAlignment="1">
      <alignment horizontal="center" vertical="top" wrapText="1"/>
    </xf>
    <xf numFmtId="0" fontId="13" fillId="35" borderId="18" xfId="0" applyFont="1" applyFill="1" applyBorder="1" applyAlignment="1">
      <alignment vertical="top" wrapText="1"/>
    </xf>
    <xf numFmtId="0" fontId="6" fillId="35" borderId="19" xfId="0" applyFont="1" applyFill="1" applyBorder="1" applyAlignment="1">
      <alignment vertical="top" wrapText="1"/>
    </xf>
    <xf numFmtId="1" fontId="4" fillId="35" borderId="27" xfId="0" applyNumberFormat="1" applyFont="1" applyFill="1" applyBorder="1" applyAlignment="1">
      <alignment horizontal="center" vertical="top" wrapText="1"/>
    </xf>
    <xf numFmtId="164" fontId="4" fillId="35" borderId="27" xfId="0" applyNumberFormat="1" applyFont="1" applyFill="1" applyBorder="1" applyAlignment="1">
      <alignment horizontal="center" vertical="top"/>
    </xf>
    <xf numFmtId="0" fontId="6" fillId="35" borderId="17" xfId="0" applyFont="1" applyFill="1" applyBorder="1" applyAlignment="1">
      <alignment vertical="top"/>
    </xf>
    <xf numFmtId="0" fontId="4" fillId="35" borderId="18" xfId="0" applyFont="1" applyFill="1" applyBorder="1" applyAlignment="1">
      <alignment/>
    </xf>
    <xf numFmtId="164" fontId="6" fillId="35" borderId="30" xfId="0" applyNumberFormat="1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13" fillId="35" borderId="0" xfId="0" applyFont="1" applyFill="1" applyBorder="1" applyAlignment="1">
      <alignment wrapText="1"/>
    </xf>
    <xf numFmtId="0" fontId="10" fillId="35" borderId="19" xfId="0" applyFont="1" applyFill="1" applyBorder="1" applyAlignment="1">
      <alignment horizontal="left" vertical="top" wrapText="1"/>
    </xf>
    <xf numFmtId="164" fontId="6" fillId="35" borderId="17" xfId="0" applyNumberFormat="1" applyFont="1" applyFill="1" applyBorder="1" applyAlignment="1">
      <alignment horizontal="center"/>
    </xf>
    <xf numFmtId="1" fontId="4" fillId="35" borderId="18" xfId="0" applyNumberFormat="1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left" vertical="top" wrapText="1"/>
    </xf>
    <xf numFmtId="1" fontId="4" fillId="35" borderId="15" xfId="0" applyNumberFormat="1" applyFont="1" applyFill="1" applyBorder="1" applyAlignment="1">
      <alignment horizontal="center" vertical="top" wrapText="1"/>
    </xf>
    <xf numFmtId="1" fontId="16" fillId="35" borderId="13" xfId="0" applyNumberFormat="1" applyFont="1" applyFill="1" applyBorder="1" applyAlignment="1">
      <alignment horizontal="center" vertical="top"/>
    </xf>
    <xf numFmtId="1" fontId="6" fillId="35" borderId="13" xfId="0" applyNumberFormat="1" applyFont="1" applyFill="1" applyBorder="1" applyAlignment="1">
      <alignment horizontal="center" vertical="top"/>
    </xf>
    <xf numFmtId="0" fontId="6" fillId="35" borderId="15" xfId="0" applyFont="1" applyFill="1" applyBorder="1" applyAlignment="1">
      <alignment horizontal="center"/>
    </xf>
    <xf numFmtId="1" fontId="4" fillId="35" borderId="24" xfId="0" applyNumberFormat="1" applyFont="1" applyFill="1" applyBorder="1" applyAlignment="1">
      <alignment horizontal="center" vertical="top"/>
    </xf>
    <xf numFmtId="0" fontId="4" fillId="35" borderId="24" xfId="0" applyFont="1" applyFill="1" applyBorder="1" applyAlignment="1">
      <alignment horizontal="center" vertical="top"/>
    </xf>
    <xf numFmtId="0" fontId="4" fillId="35" borderId="36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top"/>
    </xf>
    <xf numFmtId="0" fontId="4" fillId="35" borderId="20" xfId="0" applyFont="1" applyFill="1" applyBorder="1" applyAlignment="1">
      <alignment horizontal="center" vertical="top"/>
    </xf>
    <xf numFmtId="1" fontId="4" fillId="35" borderId="25" xfId="0" applyNumberFormat="1" applyFont="1" applyFill="1" applyBorder="1" applyAlignment="1">
      <alignment horizontal="center" vertical="top"/>
    </xf>
    <xf numFmtId="0" fontId="4" fillId="35" borderId="13" xfId="0" applyFont="1" applyFill="1" applyBorder="1" applyAlignment="1">
      <alignment vertical="top" wrapText="1"/>
    </xf>
    <xf numFmtId="1" fontId="4" fillId="35" borderId="20" xfId="0" applyNumberFormat="1" applyFont="1" applyFill="1" applyBorder="1" applyAlignment="1">
      <alignment horizontal="center" vertical="top"/>
    </xf>
    <xf numFmtId="164" fontId="4" fillId="35" borderId="37" xfId="0" applyNumberFormat="1" applyFont="1" applyFill="1" applyBorder="1" applyAlignment="1">
      <alignment horizontal="center" vertical="top"/>
    </xf>
    <xf numFmtId="0" fontId="4" fillId="35" borderId="15" xfId="0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top" wrapText="1"/>
    </xf>
    <xf numFmtId="0" fontId="4" fillId="35" borderId="18" xfId="0" applyFont="1" applyFill="1" applyBorder="1" applyAlignment="1">
      <alignment horizontal="left" vertical="top" wrapText="1"/>
    </xf>
    <xf numFmtId="0" fontId="6" fillId="35" borderId="15" xfId="0" applyFont="1" applyFill="1" applyBorder="1" applyAlignment="1">
      <alignment vertical="top" wrapText="1"/>
    </xf>
    <xf numFmtId="1" fontId="16" fillId="35" borderId="38" xfId="0" applyNumberFormat="1" applyFont="1" applyFill="1" applyBorder="1" applyAlignment="1">
      <alignment horizontal="center" vertical="top"/>
    </xf>
    <xf numFmtId="1" fontId="16" fillId="35" borderId="16" xfId="0" applyNumberFormat="1" applyFont="1" applyFill="1" applyBorder="1" applyAlignment="1">
      <alignment horizontal="center" vertical="top"/>
    </xf>
    <xf numFmtId="1" fontId="10" fillId="35" borderId="27" xfId="0" applyNumberFormat="1" applyFont="1" applyFill="1" applyBorder="1" applyAlignment="1">
      <alignment horizontal="center" vertical="top"/>
    </xf>
    <xf numFmtId="1" fontId="16" fillId="35" borderId="27" xfId="0" applyNumberFormat="1" applyFont="1" applyFill="1" applyBorder="1" applyAlignment="1">
      <alignment horizontal="center" vertical="top"/>
    </xf>
    <xf numFmtId="1" fontId="16" fillId="35" borderId="39" xfId="0" applyNumberFormat="1" applyFont="1" applyFill="1" applyBorder="1" applyAlignment="1">
      <alignment horizontal="center" vertical="top"/>
    </xf>
    <xf numFmtId="49" fontId="6" fillId="35" borderId="17" xfId="0" applyNumberFormat="1" applyFont="1" applyFill="1" applyBorder="1" applyAlignment="1">
      <alignment horizontal="left" vertical="top" wrapText="1"/>
    </xf>
    <xf numFmtId="49" fontId="13" fillId="35" borderId="12" xfId="0" applyNumberFormat="1" applyFont="1" applyFill="1" applyBorder="1" applyAlignment="1">
      <alignment horizontal="center" vertical="top" wrapText="1"/>
    </xf>
    <xf numFmtId="49" fontId="6" fillId="35" borderId="17" xfId="0" applyNumberFormat="1" applyFont="1" applyFill="1" applyBorder="1" applyAlignment="1">
      <alignment horizontal="center" vertical="top" wrapText="1"/>
    </xf>
    <xf numFmtId="2" fontId="6" fillId="35" borderId="12" xfId="0" applyNumberFormat="1" applyFont="1" applyFill="1" applyBorder="1" applyAlignment="1">
      <alignment horizontal="center" vertical="top" wrapText="1" shrinkToFit="1"/>
    </xf>
    <xf numFmtId="49" fontId="6" fillId="35" borderId="12" xfId="0" applyNumberFormat="1" applyFont="1" applyFill="1" applyBorder="1" applyAlignment="1">
      <alignment horizontal="left" vertical="top" wrapText="1"/>
    </xf>
    <xf numFmtId="49" fontId="13" fillId="35" borderId="29" xfId="0" applyNumberFormat="1" applyFont="1" applyFill="1" applyBorder="1" applyAlignment="1">
      <alignment horizontal="center" vertical="top" wrapText="1"/>
    </xf>
    <xf numFmtId="49" fontId="6" fillId="35" borderId="12" xfId="0" applyNumberFormat="1" applyFont="1" applyFill="1" applyBorder="1" applyAlignment="1">
      <alignment horizontal="center" vertical="top" wrapText="1"/>
    </xf>
    <xf numFmtId="2" fontId="6" fillId="35" borderId="18" xfId="0" applyNumberFormat="1" applyFont="1" applyFill="1" applyBorder="1" applyAlignment="1">
      <alignment horizontal="center" vertical="top" wrapText="1" shrinkToFit="1"/>
    </xf>
    <xf numFmtId="49" fontId="6" fillId="35" borderId="26" xfId="0" applyNumberFormat="1" applyFont="1" applyFill="1" applyBorder="1" applyAlignment="1">
      <alignment horizontal="center" vertical="top" wrapText="1"/>
    </xf>
    <xf numFmtId="0" fontId="6" fillId="35" borderId="16" xfId="0" applyFont="1" applyFill="1" applyBorder="1" applyAlignment="1">
      <alignment horizontal="center" vertical="top" wrapText="1"/>
    </xf>
    <xf numFmtId="49" fontId="6" fillId="35" borderId="14" xfId="0" applyNumberFormat="1" applyFont="1" applyFill="1" applyBorder="1" applyAlignment="1">
      <alignment horizontal="left" vertical="top" wrapText="1"/>
    </xf>
    <xf numFmtId="49" fontId="6" fillId="35" borderId="28" xfId="0" applyNumberFormat="1" applyFont="1" applyFill="1" applyBorder="1" applyAlignment="1">
      <alignment horizontal="center" vertical="top" wrapText="1"/>
    </xf>
    <xf numFmtId="2" fontId="6" fillId="35" borderId="14" xfId="0" applyNumberFormat="1" applyFont="1" applyFill="1" applyBorder="1" applyAlignment="1">
      <alignment horizontal="center" vertical="top" wrapText="1" shrinkToFit="1"/>
    </xf>
    <xf numFmtId="49" fontId="13" fillId="35" borderId="30" xfId="0" applyNumberFormat="1" applyFont="1" applyFill="1" applyBorder="1" applyAlignment="1">
      <alignment horizontal="center" vertical="top" wrapText="1"/>
    </xf>
    <xf numFmtId="49" fontId="6" fillId="35" borderId="21" xfId="0" applyNumberFormat="1" applyFont="1" applyFill="1" applyBorder="1" applyAlignment="1">
      <alignment horizontal="center" vertical="top" wrapText="1"/>
    </xf>
    <xf numFmtId="1" fontId="10" fillId="35" borderId="14" xfId="0" applyNumberFormat="1" applyFont="1" applyFill="1" applyBorder="1" applyAlignment="1">
      <alignment horizontal="center" vertical="top"/>
    </xf>
    <xf numFmtId="2" fontId="6" fillId="35" borderId="12" xfId="0" applyNumberFormat="1" applyFont="1" applyFill="1" applyBorder="1" applyAlignment="1">
      <alignment horizontal="center" vertical="center" wrapText="1" shrinkToFit="1"/>
    </xf>
    <xf numFmtId="2" fontId="6" fillId="35" borderId="18" xfId="0" applyNumberFormat="1" applyFont="1" applyFill="1" applyBorder="1" applyAlignment="1">
      <alignment horizontal="center" vertical="center" wrapText="1" shrinkToFit="1"/>
    </xf>
    <xf numFmtId="49" fontId="13" fillId="35" borderId="35" xfId="0" applyNumberFormat="1" applyFont="1" applyFill="1" applyBorder="1" applyAlignment="1">
      <alignment horizontal="center" vertical="top" wrapText="1"/>
    </xf>
    <xf numFmtId="49" fontId="6" fillId="35" borderId="25" xfId="0" applyNumberFormat="1" applyFont="1" applyFill="1" applyBorder="1" applyAlignment="1">
      <alignment horizontal="center" vertical="top" wrapText="1"/>
    </xf>
    <xf numFmtId="1" fontId="10" fillId="35" borderId="15" xfId="0" applyNumberFormat="1" applyFont="1" applyFill="1" applyBorder="1" applyAlignment="1">
      <alignment horizontal="center" vertical="top"/>
    </xf>
    <xf numFmtId="1" fontId="10" fillId="35" borderId="24" xfId="0" applyNumberFormat="1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2" fontId="6" fillId="35" borderId="24" xfId="0" applyNumberFormat="1" applyFont="1" applyFill="1" applyBorder="1" applyAlignment="1">
      <alignment horizontal="center" vertical="center" wrapText="1" shrinkToFit="1"/>
    </xf>
    <xf numFmtId="1" fontId="10" fillId="35" borderId="14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1" fontId="10" fillId="35" borderId="15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6" fontId="16" fillId="35" borderId="14" xfId="0" applyNumberFormat="1" applyFont="1" applyFill="1" applyBorder="1" applyAlignment="1">
      <alignment horizontal="center" vertical="top"/>
    </xf>
    <xf numFmtId="166" fontId="16" fillId="35" borderId="12" xfId="0" applyNumberFormat="1" applyFont="1" applyFill="1" applyBorder="1" applyAlignment="1">
      <alignment horizontal="center" vertical="top"/>
    </xf>
    <xf numFmtId="1" fontId="16" fillId="35" borderId="12" xfId="0" applyNumberFormat="1" applyFont="1" applyFill="1" applyBorder="1" applyAlignment="1">
      <alignment horizontal="center"/>
    </xf>
    <xf numFmtId="164" fontId="4" fillId="35" borderId="0" xfId="0" applyNumberFormat="1" applyFont="1" applyFill="1" applyAlignment="1">
      <alignment/>
    </xf>
    <xf numFmtId="164" fontId="4" fillId="35" borderId="0" xfId="0" applyNumberFormat="1" applyFont="1" applyFill="1" applyAlignment="1">
      <alignment horizontal="center" wrapText="1"/>
    </xf>
    <xf numFmtId="0" fontId="6" fillId="35" borderId="17" xfId="0" applyFont="1" applyFill="1" applyBorder="1" applyAlignment="1">
      <alignment horizontal="center" vertical="top"/>
    </xf>
    <xf numFmtId="0" fontId="6" fillId="35" borderId="18" xfId="0" applyFont="1" applyFill="1" applyBorder="1" applyAlignment="1">
      <alignment horizontal="center" vertical="top"/>
    </xf>
    <xf numFmtId="0" fontId="6" fillId="35" borderId="14" xfId="0" applyFont="1" applyFill="1" applyBorder="1" applyAlignment="1">
      <alignment horizontal="center" vertical="top"/>
    </xf>
    <xf numFmtId="0" fontId="6" fillId="35" borderId="17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13" fillId="35" borderId="17" xfId="0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wrapText="1"/>
    </xf>
    <xf numFmtId="1" fontId="6" fillId="35" borderId="17" xfId="0" applyNumberFormat="1" applyFont="1" applyFill="1" applyBorder="1" applyAlignment="1">
      <alignment horizontal="center" vertical="top"/>
    </xf>
    <xf numFmtId="1" fontId="6" fillId="35" borderId="18" xfId="0" applyNumberFormat="1" applyFont="1" applyFill="1" applyBorder="1" applyAlignment="1">
      <alignment horizontal="center" vertical="top"/>
    </xf>
    <xf numFmtId="164" fontId="4" fillId="35" borderId="17" xfId="0" applyNumberFormat="1" applyFont="1" applyFill="1" applyBorder="1" applyAlignment="1">
      <alignment horizontal="center" vertical="top" wrapText="1"/>
    </xf>
    <xf numFmtId="164" fontId="4" fillId="35" borderId="14" xfId="0" applyNumberFormat="1" applyFont="1" applyFill="1" applyBorder="1" applyAlignment="1">
      <alignment horizontal="center" vertical="top" wrapText="1"/>
    </xf>
    <xf numFmtId="164" fontId="10" fillId="35" borderId="17" xfId="0" applyNumberFormat="1" applyFont="1" applyFill="1" applyBorder="1" applyAlignment="1">
      <alignment horizontal="center" vertical="top" wrapText="1"/>
    </xf>
    <xf numFmtId="164" fontId="10" fillId="35" borderId="14" xfId="0" applyNumberFormat="1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top" wrapText="1"/>
    </xf>
    <xf numFmtId="1" fontId="4" fillId="35" borderId="17" xfId="0" applyNumberFormat="1" applyFont="1" applyFill="1" applyBorder="1" applyAlignment="1">
      <alignment horizontal="center" vertical="top" wrapText="1"/>
    </xf>
    <xf numFmtId="1" fontId="4" fillId="35" borderId="14" xfId="0" applyNumberFormat="1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left" vertical="top" wrapText="1"/>
    </xf>
    <xf numFmtId="0" fontId="6" fillId="35" borderId="18" xfId="0" applyFont="1" applyFill="1" applyBorder="1" applyAlignment="1">
      <alignment horizontal="left" vertical="top" wrapText="1"/>
    </xf>
    <xf numFmtId="0" fontId="13" fillId="35" borderId="18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left" vertical="top" wrapText="1"/>
    </xf>
    <xf numFmtId="164" fontId="6" fillId="35" borderId="17" xfId="0" applyNumberFormat="1" applyFont="1" applyFill="1" applyBorder="1" applyAlignment="1">
      <alignment horizontal="center" vertical="top" wrapText="1"/>
    </xf>
    <xf numFmtId="164" fontId="6" fillId="35" borderId="18" xfId="0" applyNumberFormat="1" applyFont="1" applyFill="1" applyBorder="1" applyAlignment="1">
      <alignment horizontal="center" vertical="top" wrapText="1"/>
    </xf>
    <xf numFmtId="164" fontId="6" fillId="35" borderId="14" xfId="0" applyNumberFormat="1" applyFont="1" applyFill="1" applyBorder="1" applyAlignment="1">
      <alignment horizontal="center" vertical="top" wrapText="1"/>
    </xf>
    <xf numFmtId="164" fontId="4" fillId="35" borderId="17" xfId="0" applyNumberFormat="1" applyFont="1" applyFill="1" applyBorder="1" applyAlignment="1">
      <alignment horizontal="center" vertical="top"/>
    </xf>
    <xf numFmtId="164" fontId="4" fillId="35" borderId="18" xfId="0" applyNumberFormat="1" applyFont="1" applyFill="1" applyBorder="1" applyAlignment="1">
      <alignment horizontal="center" vertical="top"/>
    </xf>
    <xf numFmtId="164" fontId="4" fillId="35" borderId="14" xfId="0" applyNumberFormat="1" applyFont="1" applyFill="1" applyBorder="1" applyAlignment="1">
      <alignment horizontal="center" vertical="top"/>
    </xf>
    <xf numFmtId="0" fontId="16" fillId="35" borderId="18" xfId="0" applyFont="1" applyFill="1" applyBorder="1" applyAlignment="1">
      <alignment horizontal="center" vertical="top"/>
    </xf>
    <xf numFmtId="0" fontId="16" fillId="35" borderId="14" xfId="0" applyFont="1" applyFill="1" applyBorder="1" applyAlignment="1">
      <alignment horizontal="center" vertical="top"/>
    </xf>
    <xf numFmtId="0" fontId="14" fillId="35" borderId="18" xfId="0" applyFont="1" applyFill="1" applyBorder="1" applyAlignment="1">
      <alignment horizontal="center" vertical="top" wrapText="1"/>
    </xf>
    <xf numFmtId="0" fontId="14" fillId="35" borderId="14" xfId="0" applyFont="1" applyFill="1" applyBorder="1" applyAlignment="1">
      <alignment horizontal="center" vertical="top" wrapText="1"/>
    </xf>
    <xf numFmtId="0" fontId="16" fillId="35" borderId="18" xfId="0" applyFont="1" applyFill="1" applyBorder="1" applyAlignment="1">
      <alignment horizontal="center" vertical="top" wrapText="1"/>
    </xf>
    <xf numFmtId="0" fontId="16" fillId="35" borderId="14" xfId="0" applyFont="1" applyFill="1" applyBorder="1" applyAlignment="1">
      <alignment horizontal="center" vertical="top" wrapText="1"/>
    </xf>
    <xf numFmtId="1" fontId="4" fillId="35" borderId="17" xfId="0" applyNumberFormat="1" applyFont="1" applyFill="1" applyBorder="1" applyAlignment="1">
      <alignment horizontal="center" vertical="top"/>
    </xf>
    <xf numFmtId="1" fontId="4" fillId="35" borderId="14" xfId="0" applyNumberFormat="1" applyFont="1" applyFill="1" applyBorder="1" applyAlignment="1">
      <alignment horizontal="center" vertical="top"/>
    </xf>
    <xf numFmtId="164" fontId="6" fillId="35" borderId="17" xfId="0" applyNumberFormat="1" applyFont="1" applyFill="1" applyBorder="1" applyAlignment="1">
      <alignment horizontal="center" vertical="top"/>
    </xf>
    <xf numFmtId="164" fontId="6" fillId="35" borderId="14" xfId="0" applyNumberFormat="1" applyFont="1" applyFill="1" applyBorder="1" applyAlignment="1">
      <alignment horizontal="center" vertical="top"/>
    </xf>
    <xf numFmtId="1" fontId="4" fillId="35" borderId="18" xfId="0" applyNumberFormat="1" applyFont="1" applyFill="1" applyBorder="1" applyAlignment="1">
      <alignment horizontal="center" vertical="top"/>
    </xf>
    <xf numFmtId="164" fontId="6" fillId="35" borderId="18" xfId="0" applyNumberFormat="1" applyFont="1" applyFill="1" applyBorder="1" applyAlignment="1">
      <alignment horizontal="center" vertical="top"/>
    </xf>
    <xf numFmtId="1" fontId="6" fillId="35" borderId="14" xfId="0" applyNumberFormat="1" applyFont="1" applyFill="1" applyBorder="1" applyAlignment="1">
      <alignment horizontal="center" vertical="top"/>
    </xf>
    <xf numFmtId="49" fontId="6" fillId="35" borderId="17" xfId="0" applyNumberFormat="1" applyFont="1" applyFill="1" applyBorder="1" applyAlignment="1">
      <alignment horizontal="left" vertical="top" wrapText="1"/>
    </xf>
    <xf numFmtId="49" fontId="6" fillId="35" borderId="14" xfId="0" applyNumberFormat="1" applyFont="1" applyFill="1" applyBorder="1" applyAlignment="1">
      <alignment horizontal="left" vertical="top" wrapText="1"/>
    </xf>
    <xf numFmtId="49" fontId="13" fillId="35" borderId="17" xfId="0" applyNumberFormat="1" applyFont="1" applyFill="1" applyBorder="1" applyAlignment="1">
      <alignment horizontal="center" vertical="top" wrapText="1"/>
    </xf>
    <xf numFmtId="49" fontId="13" fillId="35" borderId="14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4" fillId="35" borderId="17" xfId="0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 vertical="top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164" fontId="6" fillId="35" borderId="17" xfId="0" applyNumberFormat="1" applyFont="1" applyFill="1" applyBorder="1" applyAlignment="1">
      <alignment horizontal="center" vertical="center" wrapText="1"/>
    </xf>
    <xf numFmtId="164" fontId="6" fillId="35" borderId="14" xfId="0" applyNumberFormat="1" applyFont="1" applyFill="1" applyBorder="1" applyAlignment="1">
      <alignment horizontal="center" vertical="center" wrapText="1"/>
    </xf>
    <xf numFmtId="49" fontId="6" fillId="35" borderId="17" xfId="0" applyNumberFormat="1" applyFont="1" applyFill="1" applyBorder="1" applyAlignment="1">
      <alignment horizontal="center" vertical="top" wrapText="1"/>
    </xf>
    <xf numFmtId="49" fontId="6" fillId="35" borderId="14" xfId="0" applyNumberFormat="1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4" fillId="35" borderId="36" xfId="0" applyFont="1" applyFill="1" applyBorder="1" applyAlignment="1">
      <alignment horizontal="center" vertical="top" wrapText="1"/>
    </xf>
    <xf numFmtId="0" fontId="4" fillId="35" borderId="40" xfId="0" applyFont="1" applyFill="1" applyBorder="1" applyAlignment="1">
      <alignment horizontal="center" vertical="top" wrapText="1"/>
    </xf>
    <xf numFmtId="0" fontId="4" fillId="35" borderId="41" xfId="0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vertical="top" wrapText="1"/>
    </xf>
    <xf numFmtId="0" fontId="6" fillId="35" borderId="18" xfId="0" applyFont="1" applyFill="1" applyBorder="1" applyAlignment="1">
      <alignment vertical="top" wrapText="1"/>
    </xf>
    <xf numFmtId="0" fontId="10" fillId="35" borderId="17" xfId="0" applyFont="1" applyFill="1" applyBorder="1" applyAlignment="1">
      <alignment horizontal="left" vertical="top" wrapText="1"/>
    </xf>
    <xf numFmtId="0" fontId="10" fillId="35" borderId="18" xfId="0" applyFont="1" applyFill="1" applyBorder="1" applyAlignment="1">
      <alignment horizontal="left" vertical="top" wrapText="1"/>
    </xf>
    <xf numFmtId="0" fontId="4" fillId="35" borderId="17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  <xf numFmtId="0" fontId="4" fillId="35" borderId="15" xfId="0" applyFont="1" applyFill="1" applyBorder="1" applyAlignment="1">
      <alignment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vertical="top" wrapText="1"/>
    </xf>
    <xf numFmtId="0" fontId="4" fillId="35" borderId="21" xfId="0" applyFont="1" applyFill="1" applyBorder="1" applyAlignment="1">
      <alignment vertical="top"/>
    </xf>
    <xf numFmtId="0" fontId="4" fillId="35" borderId="25" xfId="0" applyFont="1" applyFill="1" applyBorder="1" applyAlignment="1">
      <alignment vertical="top"/>
    </xf>
    <xf numFmtId="0" fontId="11" fillId="35" borderId="36" xfId="0" applyFont="1" applyFill="1" applyBorder="1" applyAlignment="1">
      <alignment horizontal="center" vertical="top" wrapText="1"/>
    </xf>
    <xf numFmtId="0" fontId="11" fillId="35" borderId="40" xfId="0" applyFont="1" applyFill="1" applyBorder="1" applyAlignment="1">
      <alignment horizontal="center" vertical="top" wrapText="1"/>
    </xf>
    <xf numFmtId="0" fontId="11" fillId="35" borderId="41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vertical="top" wrapText="1"/>
    </xf>
    <xf numFmtId="0" fontId="4" fillId="35" borderId="18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 vertical="top" wrapText="1"/>
    </xf>
    <xf numFmtId="0" fontId="13" fillId="35" borderId="15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 vertical="top" wrapText="1"/>
    </xf>
    <xf numFmtId="0" fontId="4" fillId="35" borderId="25" xfId="0" applyFont="1" applyFill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top" wrapText="1"/>
    </xf>
    <xf numFmtId="1" fontId="4" fillId="35" borderId="18" xfId="0" applyNumberFormat="1" applyFont="1" applyFill="1" applyBorder="1" applyAlignment="1">
      <alignment horizontal="center" vertical="top" wrapText="1"/>
    </xf>
    <xf numFmtId="2" fontId="6" fillId="35" borderId="17" xfId="0" applyNumberFormat="1" applyFont="1" applyFill="1" applyBorder="1" applyAlignment="1">
      <alignment horizontal="center" vertical="top" wrapText="1" shrinkToFit="1"/>
    </xf>
    <xf numFmtId="2" fontId="6" fillId="35" borderId="14" xfId="0" applyNumberFormat="1" applyFont="1" applyFill="1" applyBorder="1" applyAlignment="1">
      <alignment horizontal="center" vertical="top" wrapText="1" shrinkToFi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top" wrapText="1"/>
    </xf>
    <xf numFmtId="0" fontId="6" fillId="35" borderId="28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center" vertical="top" wrapText="1"/>
    </xf>
    <xf numFmtId="164" fontId="6" fillId="35" borderId="18" xfId="0" applyNumberFormat="1" applyFont="1" applyFill="1" applyBorder="1" applyAlignment="1">
      <alignment horizontal="center" vertical="center" wrapText="1"/>
    </xf>
    <xf numFmtId="44" fontId="6" fillId="35" borderId="17" xfId="42" applyFont="1" applyFill="1" applyBorder="1" applyAlignment="1">
      <alignment horizontal="center" vertical="center" wrapText="1"/>
    </xf>
    <xf numFmtId="44" fontId="6" fillId="35" borderId="18" xfId="42" applyFont="1" applyFill="1" applyBorder="1" applyAlignment="1">
      <alignment horizontal="center" vertical="center" wrapText="1"/>
    </xf>
    <xf numFmtId="44" fontId="6" fillId="35" borderId="14" xfId="42" applyFont="1" applyFill="1" applyBorder="1" applyAlignment="1">
      <alignment horizontal="center" vertical="center" wrapText="1"/>
    </xf>
    <xf numFmtId="164" fontId="4" fillId="35" borderId="12" xfId="0" applyNumberFormat="1" applyFont="1" applyFill="1" applyBorder="1" applyAlignment="1">
      <alignment horizontal="center" vertical="top"/>
    </xf>
    <xf numFmtId="1" fontId="6" fillId="35" borderId="17" xfId="0" applyNumberFormat="1" applyFont="1" applyFill="1" applyBorder="1" applyAlignment="1">
      <alignment horizontal="center" vertical="top" wrapText="1"/>
    </xf>
    <xf numFmtId="1" fontId="6" fillId="35" borderId="14" xfId="0" applyNumberFormat="1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30" xfId="0" applyFont="1" applyFill="1" applyBorder="1" applyAlignment="1">
      <alignment horizontal="center" vertical="top" wrapText="1"/>
    </xf>
    <xf numFmtId="1" fontId="6" fillId="35" borderId="21" xfId="0" applyNumberFormat="1" applyFont="1" applyFill="1" applyBorder="1" applyAlignment="1">
      <alignment horizontal="center" vertical="top" wrapText="1"/>
    </xf>
    <xf numFmtId="0" fontId="4" fillId="35" borderId="2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35" borderId="0" xfId="0" applyFont="1" applyFill="1" applyAlignment="1">
      <alignment horizontal="center" wrapText="1"/>
    </xf>
    <xf numFmtId="0" fontId="9" fillId="35" borderId="0" xfId="0" applyFont="1" applyFill="1" applyAlignment="1">
      <alignment horizontal="center" wrapText="1"/>
    </xf>
    <xf numFmtId="0" fontId="4" fillId="35" borderId="0" xfId="0" applyFont="1" applyFill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49" fontId="4" fillId="35" borderId="0" xfId="0" applyNumberFormat="1" applyFont="1" applyFill="1" applyAlignment="1">
      <alignment horizontal="center" wrapText="1"/>
    </xf>
    <xf numFmtId="0" fontId="6" fillId="35" borderId="18" xfId="0" applyFont="1" applyFill="1" applyBorder="1" applyAlignment="1">
      <alignment horizontal="center"/>
    </xf>
    <xf numFmtId="164" fontId="4" fillId="35" borderId="19" xfId="0" applyNumberFormat="1" applyFont="1" applyFill="1" applyBorder="1" applyAlignment="1">
      <alignment horizontal="center" vertical="top" wrapText="1"/>
    </xf>
    <xf numFmtId="164" fontId="4" fillId="35" borderId="28" xfId="0" applyNumberFormat="1" applyFont="1" applyFill="1" applyBorder="1" applyAlignment="1">
      <alignment horizontal="center" vertical="top" wrapText="1"/>
    </xf>
    <xf numFmtId="164" fontId="4" fillId="35" borderId="21" xfId="0" applyNumberFormat="1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center" wrapText="1"/>
    </xf>
    <xf numFmtId="1" fontId="6" fillId="35" borderId="12" xfId="0" applyNumberFormat="1" applyFont="1" applyFill="1" applyBorder="1" applyAlignment="1">
      <alignment horizontal="center" vertical="center" wrapText="1"/>
    </xf>
    <xf numFmtId="1" fontId="6" fillId="35" borderId="27" xfId="0" applyNumberFormat="1" applyFont="1" applyFill="1" applyBorder="1" applyAlignment="1">
      <alignment horizontal="center" vertical="top" wrapText="1"/>
    </xf>
    <xf numFmtId="1" fontId="6" fillId="35" borderId="29" xfId="0" applyNumberFormat="1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vertical="top" wrapText="1"/>
    </xf>
    <xf numFmtId="0" fontId="6" fillId="35" borderId="21" xfId="0" applyFont="1" applyFill="1" applyBorder="1" applyAlignment="1">
      <alignment vertical="top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1" fontId="6" fillId="35" borderId="18" xfId="0" applyNumberFormat="1" applyFont="1" applyFill="1" applyBorder="1" applyAlignment="1">
      <alignment horizontal="center" vertical="top" wrapText="1"/>
    </xf>
    <xf numFmtId="1" fontId="6" fillId="35" borderId="19" xfId="0" applyNumberFormat="1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left" vertical="top" wrapText="1"/>
    </xf>
    <xf numFmtId="0" fontId="13" fillId="35" borderId="19" xfId="0" applyFont="1" applyFill="1" applyBorder="1" applyAlignment="1">
      <alignment horizontal="center" vertical="top" wrapText="1"/>
    </xf>
    <xf numFmtId="0" fontId="13" fillId="35" borderId="28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/>
    </xf>
    <xf numFmtId="0" fontId="4" fillId="35" borderId="14" xfId="0" applyFont="1" applyFill="1" applyBorder="1" applyAlignment="1">
      <alignment/>
    </xf>
    <xf numFmtId="0" fontId="16" fillId="35" borderId="17" xfId="0" applyFont="1" applyFill="1" applyBorder="1" applyAlignment="1">
      <alignment horizontal="center" vertical="top" wrapText="1"/>
    </xf>
    <xf numFmtId="0" fontId="16" fillId="35" borderId="15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left" vertical="top" wrapText="1"/>
    </xf>
    <xf numFmtId="0" fontId="6" fillId="35" borderId="19" xfId="0" applyFont="1" applyFill="1" applyBorder="1" applyAlignment="1">
      <alignment horizontal="left" vertical="top" wrapText="1"/>
    </xf>
    <xf numFmtId="0" fontId="6" fillId="35" borderId="21" xfId="0" applyFont="1" applyFill="1" applyBorder="1" applyAlignment="1">
      <alignment horizontal="left" vertical="top" wrapText="1"/>
    </xf>
    <xf numFmtId="14" fontId="6" fillId="35" borderId="17" xfId="0" applyNumberFormat="1" applyFont="1" applyFill="1" applyBorder="1" applyAlignment="1">
      <alignment horizontal="left" vertical="top" wrapText="1"/>
    </xf>
    <xf numFmtId="14" fontId="6" fillId="35" borderId="18" xfId="0" applyNumberFormat="1" applyFont="1" applyFill="1" applyBorder="1" applyAlignment="1">
      <alignment horizontal="left" vertical="top" wrapText="1"/>
    </xf>
    <xf numFmtId="14" fontId="6" fillId="35" borderId="14" xfId="0" applyNumberFormat="1" applyFont="1" applyFill="1" applyBorder="1" applyAlignment="1">
      <alignment horizontal="left" vertical="top" wrapText="1"/>
    </xf>
    <xf numFmtId="0" fontId="13" fillId="35" borderId="21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horizontal="left" vertical="top" wrapText="1"/>
    </xf>
    <xf numFmtId="0" fontId="6" fillId="35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13" fillId="35" borderId="15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top"/>
    </xf>
    <xf numFmtId="0" fontId="16" fillId="35" borderId="15" xfId="0" applyFont="1" applyFill="1" applyBorder="1" applyAlignment="1">
      <alignment horizontal="center" vertical="top"/>
    </xf>
    <xf numFmtId="0" fontId="12" fillId="35" borderId="18" xfId="0" applyFont="1" applyFill="1" applyBorder="1" applyAlignment="1">
      <alignment horizontal="center" vertical="top" wrapText="1"/>
    </xf>
    <xf numFmtId="0" fontId="12" fillId="35" borderId="15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top" wrapText="1"/>
    </xf>
    <xf numFmtId="1" fontId="6" fillId="35" borderId="12" xfId="0" applyNumberFormat="1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/>
    </xf>
    <xf numFmtId="0" fontId="4" fillId="35" borderId="21" xfId="0" applyFont="1" applyFill="1" applyBorder="1" applyAlignment="1">
      <alignment horizontal="center" vertical="top"/>
    </xf>
    <xf numFmtId="0" fontId="12" fillId="35" borderId="26" xfId="0" applyFont="1" applyFill="1" applyBorder="1" applyAlignment="1">
      <alignment horizontal="center" vertical="top" wrapText="1"/>
    </xf>
    <xf numFmtId="0" fontId="12" fillId="35" borderId="33" xfId="0" applyFont="1" applyFill="1" applyBorder="1" applyAlignment="1">
      <alignment horizontal="center" vertical="top" wrapText="1"/>
    </xf>
    <xf numFmtId="0" fontId="12" fillId="35" borderId="16" xfId="0" applyFont="1" applyFill="1" applyBorder="1" applyAlignment="1">
      <alignment horizontal="center" vertical="top" wrapText="1"/>
    </xf>
    <xf numFmtId="0" fontId="13" fillId="35" borderId="27" xfId="0" applyFont="1" applyFill="1" applyBorder="1" applyAlignment="1">
      <alignment horizontal="center" vertical="top" wrapText="1"/>
    </xf>
    <xf numFmtId="0" fontId="13" fillId="35" borderId="30" xfId="0" applyFont="1" applyFill="1" applyBorder="1" applyAlignment="1">
      <alignment horizontal="center" vertical="top" wrapText="1"/>
    </xf>
    <xf numFmtId="0" fontId="13" fillId="35" borderId="29" xfId="0" applyFont="1" applyFill="1" applyBorder="1" applyAlignment="1">
      <alignment horizontal="center" vertical="top" wrapText="1"/>
    </xf>
    <xf numFmtId="164" fontId="11" fillId="35" borderId="17" xfId="0" applyNumberFormat="1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wrapText="1"/>
    </xf>
    <xf numFmtId="164" fontId="14" fillId="35" borderId="12" xfId="0" applyNumberFormat="1" applyFont="1" applyFill="1" applyBorder="1" applyAlignment="1">
      <alignment horizontal="center" vertical="top" wrapText="1"/>
    </xf>
    <xf numFmtId="0" fontId="14" fillId="35" borderId="12" xfId="0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wrapText="1"/>
    </xf>
    <xf numFmtId="0" fontId="12" fillId="35" borderId="12" xfId="0" applyFont="1" applyFill="1" applyBorder="1" applyAlignment="1">
      <alignment horizontal="center" vertical="top" wrapText="1"/>
    </xf>
    <xf numFmtId="0" fontId="14" fillId="35" borderId="15" xfId="0" applyFont="1" applyFill="1" applyBorder="1" applyAlignment="1">
      <alignment horizontal="center" vertical="top" wrapText="1"/>
    </xf>
    <xf numFmtId="0" fontId="6" fillId="35" borderId="3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164" fontId="6" fillId="35" borderId="12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left" vertical="top" wrapText="1"/>
    </xf>
    <xf numFmtId="0" fontId="15" fillId="35" borderId="18" xfId="0" applyFont="1" applyFill="1" applyBorder="1" applyAlignment="1">
      <alignment horizontal="left" vertical="top" wrapText="1"/>
    </xf>
    <xf numFmtId="0" fontId="15" fillId="35" borderId="1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64" fontId="10" fillId="35" borderId="18" xfId="0" applyNumberFormat="1" applyFont="1" applyFill="1" applyBorder="1" applyAlignment="1">
      <alignment horizontal="center" vertical="top"/>
    </xf>
    <xf numFmtId="164" fontId="10" fillId="35" borderId="14" xfId="0" applyNumberFormat="1" applyFont="1" applyFill="1" applyBorder="1" applyAlignment="1">
      <alignment horizontal="center" vertical="top"/>
    </xf>
    <xf numFmtId="0" fontId="10" fillId="35" borderId="18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164" fontId="6" fillId="35" borderId="23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164" fontId="6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left" vertical="top" wrapText="1"/>
    </xf>
    <xf numFmtId="0" fontId="6" fillId="35" borderId="27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49" fontId="4" fillId="35" borderId="23" xfId="0" applyNumberFormat="1" applyFont="1" applyFill="1" applyBorder="1" applyAlignment="1">
      <alignment horizontal="left" vertical="top" wrapText="1"/>
    </xf>
    <xf numFmtId="49" fontId="6" fillId="35" borderId="18" xfId="0" applyNumberFormat="1" applyFont="1" applyFill="1" applyBorder="1" applyAlignment="1">
      <alignment horizontal="left" vertical="top" wrapText="1"/>
    </xf>
    <xf numFmtId="49" fontId="6" fillId="35" borderId="15" xfId="0" applyNumberFormat="1" applyFont="1" applyFill="1" applyBorder="1" applyAlignment="1">
      <alignment horizontal="left" vertical="top" wrapText="1"/>
    </xf>
    <xf numFmtId="49" fontId="13" fillId="35" borderId="23" xfId="0" applyNumberFormat="1" applyFont="1" applyFill="1" applyBorder="1" applyAlignment="1">
      <alignment horizontal="center" vertical="top" wrapText="1"/>
    </xf>
    <xf numFmtId="49" fontId="13" fillId="35" borderId="18" xfId="0" applyNumberFormat="1" applyFont="1" applyFill="1" applyBorder="1" applyAlignment="1">
      <alignment horizontal="center" vertical="top" wrapText="1"/>
    </xf>
    <xf numFmtId="49" fontId="13" fillId="35" borderId="15" xfId="0" applyNumberFormat="1" applyFont="1" applyFill="1" applyBorder="1" applyAlignment="1">
      <alignment horizontal="center" vertical="top" wrapText="1"/>
    </xf>
    <xf numFmtId="49" fontId="6" fillId="35" borderId="23" xfId="0" applyNumberFormat="1" applyFont="1" applyFill="1" applyBorder="1" applyAlignment="1">
      <alignment horizontal="center" vertical="top" wrapText="1"/>
    </xf>
    <xf numFmtId="49" fontId="6" fillId="35" borderId="18" xfId="0" applyNumberFormat="1" applyFont="1" applyFill="1" applyBorder="1" applyAlignment="1">
      <alignment horizontal="center" vertical="top" wrapText="1"/>
    </xf>
    <xf numFmtId="49" fontId="6" fillId="35" borderId="15" xfId="0" applyNumberFormat="1" applyFont="1" applyFill="1" applyBorder="1" applyAlignment="1">
      <alignment horizontal="center" vertical="top" wrapText="1"/>
    </xf>
    <xf numFmtId="0" fontId="4" fillId="35" borderId="23" xfId="0" applyFont="1" applyFill="1" applyBorder="1" applyAlignment="1">
      <alignment horizontal="left" vertical="top" wrapText="1"/>
    </xf>
    <xf numFmtId="0" fontId="4" fillId="35" borderId="15" xfId="0" applyFont="1" applyFill="1" applyBorder="1" applyAlignment="1">
      <alignment horizontal="left" vertical="top" wrapText="1"/>
    </xf>
    <xf numFmtId="0" fontId="15" fillId="35" borderId="23" xfId="0" applyFont="1" applyFill="1" applyBorder="1" applyAlignment="1">
      <alignment horizontal="center" vertical="top" wrapText="1"/>
    </xf>
    <xf numFmtId="0" fontId="15" fillId="35" borderId="18" xfId="0" applyFont="1" applyFill="1" applyBorder="1" applyAlignment="1">
      <alignment horizontal="center" vertical="top" wrapText="1"/>
    </xf>
    <xf numFmtId="0" fontId="15" fillId="35" borderId="15" xfId="0" applyFont="1" applyFill="1" applyBorder="1" applyAlignment="1">
      <alignment horizontal="center" vertical="top" wrapText="1"/>
    </xf>
    <xf numFmtId="0" fontId="16" fillId="35" borderId="23" xfId="0" applyFont="1" applyFill="1" applyBorder="1" applyAlignment="1">
      <alignment horizontal="center" vertical="top" wrapText="1"/>
    </xf>
    <xf numFmtId="0" fontId="12" fillId="35" borderId="36" xfId="0" applyFont="1" applyFill="1" applyBorder="1" applyAlignment="1">
      <alignment horizontal="center" vertical="top" wrapText="1"/>
    </xf>
    <xf numFmtId="0" fontId="12" fillId="35" borderId="40" xfId="0" applyFont="1" applyFill="1" applyBorder="1" applyAlignment="1">
      <alignment horizontal="center" vertical="top" wrapText="1"/>
    </xf>
    <xf numFmtId="0" fontId="12" fillId="35" borderId="41" xfId="0" applyFont="1" applyFill="1" applyBorder="1" applyAlignment="1">
      <alignment horizontal="center" vertical="top" wrapText="1"/>
    </xf>
    <xf numFmtId="49" fontId="10" fillId="35" borderId="17" xfId="0" applyNumberFormat="1" applyFont="1" applyFill="1" applyBorder="1" applyAlignment="1">
      <alignment horizontal="left" vertical="top" wrapText="1"/>
    </xf>
    <xf numFmtId="49" fontId="10" fillId="35" borderId="18" xfId="0" applyNumberFormat="1" applyFont="1" applyFill="1" applyBorder="1" applyAlignment="1">
      <alignment horizontal="left" vertical="top" wrapText="1"/>
    </xf>
    <xf numFmtId="49" fontId="10" fillId="35" borderId="15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7"/>
  <sheetViews>
    <sheetView tabSelected="1" view="pageLayout" showRuler="0" zoomScaleSheetLayoutView="90" workbookViewId="0" topLeftCell="A104">
      <selection activeCell="B104" sqref="B104:B105"/>
    </sheetView>
  </sheetViews>
  <sheetFormatPr defaultColWidth="8.8515625" defaultRowHeight="15"/>
  <cols>
    <col min="1" max="1" width="49.7109375" style="11" customWidth="1"/>
    <col min="2" max="2" width="15.7109375" style="76" customWidth="1"/>
    <col min="3" max="3" width="15.00390625" style="74" customWidth="1"/>
    <col min="4" max="4" width="9.421875" style="12" customWidth="1"/>
    <col min="5" max="5" width="13.140625" style="11" bestFit="1" customWidth="1"/>
    <col min="6" max="6" width="11.8515625" style="11" bestFit="1" customWidth="1"/>
    <col min="7" max="7" width="16.28125" style="11" customWidth="1"/>
    <col min="8" max="8" width="12.421875" style="11" customWidth="1"/>
    <col min="9" max="9" width="11.8515625" style="11" bestFit="1" customWidth="1"/>
    <col min="10" max="10" width="11.8515625" style="11" customWidth="1"/>
    <col min="11" max="11" width="16.7109375" style="13" customWidth="1"/>
    <col min="12" max="12" width="12.421875" style="47" customWidth="1"/>
    <col min="13" max="13" width="15.8515625" style="0" customWidth="1"/>
    <col min="14" max="15" width="12.421875" style="0" customWidth="1"/>
    <col min="16" max="16" width="16.421875" style="0" customWidth="1"/>
    <col min="17" max="19" width="9.421875" style="0" bestFit="1" customWidth="1"/>
  </cols>
  <sheetData>
    <row r="1" ht="15" hidden="1">
      <c r="A1" s="38"/>
    </row>
    <row r="2" spans="1:3" ht="15" hidden="1">
      <c r="A2" s="38"/>
      <c r="B2" s="539"/>
      <c r="C2" s="539"/>
    </row>
    <row r="3" spans="1:11" ht="15">
      <c r="A3" s="108"/>
      <c r="B3" s="540"/>
      <c r="C3" s="540"/>
      <c r="D3" s="109"/>
      <c r="E3" s="108"/>
      <c r="F3" s="108"/>
      <c r="G3" s="108"/>
      <c r="H3" s="108"/>
      <c r="I3" s="108"/>
      <c r="J3" s="108"/>
      <c r="K3" s="121"/>
    </row>
    <row r="4" spans="1:11" ht="15">
      <c r="A4" s="108"/>
      <c r="B4" s="546"/>
      <c r="C4" s="546"/>
      <c r="D4" s="109"/>
      <c r="E4" s="108"/>
      <c r="F4" s="108"/>
      <c r="G4" s="108"/>
      <c r="H4" s="108"/>
      <c r="I4" s="110"/>
      <c r="J4" s="110"/>
      <c r="K4" s="110"/>
    </row>
    <row r="5" spans="1:11" ht="15">
      <c r="A5" s="108"/>
      <c r="B5" s="111"/>
      <c r="C5" s="112"/>
      <c r="D5" s="109"/>
      <c r="E5" s="108"/>
      <c r="F5" s="108"/>
      <c r="G5" s="108"/>
      <c r="H5" s="108"/>
      <c r="I5" s="110"/>
      <c r="J5" s="110"/>
      <c r="K5" s="110"/>
    </row>
    <row r="6" spans="1:11" ht="15">
      <c r="A6" s="108"/>
      <c r="B6" s="113"/>
      <c r="C6" s="114"/>
      <c r="D6" s="109"/>
      <c r="E6" s="108"/>
      <c r="F6" s="108"/>
      <c r="G6" s="542" t="s">
        <v>205</v>
      </c>
      <c r="H6" s="542"/>
      <c r="I6" s="542"/>
      <c r="J6" s="542"/>
      <c r="K6" s="542"/>
    </row>
    <row r="7" spans="1:11" ht="15">
      <c r="A7" s="108"/>
      <c r="B7" s="115"/>
      <c r="C7" s="116"/>
      <c r="D7" s="109"/>
      <c r="E7" s="108"/>
      <c r="F7" s="108"/>
      <c r="G7" s="108"/>
      <c r="H7" s="581" t="s">
        <v>204</v>
      </c>
      <c r="I7" s="581"/>
      <c r="J7" s="581"/>
      <c r="K7" s="581"/>
    </row>
    <row r="8" spans="1:11" ht="16.5">
      <c r="A8" s="117"/>
      <c r="B8" s="115"/>
      <c r="C8" s="118" t="s">
        <v>383</v>
      </c>
      <c r="D8" s="119"/>
      <c r="E8" s="117"/>
      <c r="F8" s="117"/>
      <c r="G8" s="117"/>
      <c r="H8" s="117"/>
      <c r="I8" s="120"/>
      <c r="J8" s="117"/>
      <c r="K8" s="117"/>
    </row>
    <row r="9" spans="1:12" s="7" customFormat="1" ht="16.5">
      <c r="A9" s="582" t="s">
        <v>10</v>
      </c>
      <c r="B9" s="582"/>
      <c r="C9" s="582"/>
      <c r="D9" s="582"/>
      <c r="E9" s="582"/>
      <c r="F9" s="582"/>
      <c r="G9" s="582"/>
      <c r="H9" s="582"/>
      <c r="I9" s="582"/>
      <c r="J9" s="582"/>
      <c r="K9" s="582"/>
      <c r="L9" s="48"/>
    </row>
    <row r="10" spans="1:12" s="7" customFormat="1" ht="15" customHeight="1">
      <c r="A10" s="541" t="s">
        <v>85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48"/>
    </row>
    <row r="11" spans="1:12" s="14" customFormat="1" ht="15" customHeight="1" hidden="1">
      <c r="A11" s="110"/>
      <c r="B11" s="122"/>
      <c r="C11" s="123"/>
      <c r="D11" s="110"/>
      <c r="E11" s="110"/>
      <c r="F11" s="110"/>
      <c r="G11" s="110"/>
      <c r="H11" s="110"/>
      <c r="I11" s="110"/>
      <c r="J11" s="110"/>
      <c r="K11" s="110"/>
      <c r="L11" s="47"/>
    </row>
    <row r="12" spans="1:12" s="7" customFormat="1" ht="15" hidden="1">
      <c r="A12" s="108"/>
      <c r="B12" s="115"/>
      <c r="C12" s="116"/>
      <c r="D12" s="109"/>
      <c r="E12" s="108"/>
      <c r="F12" s="108"/>
      <c r="G12" s="108"/>
      <c r="H12" s="108"/>
      <c r="I12" s="108"/>
      <c r="J12" s="108"/>
      <c r="K12" s="121"/>
      <c r="L12" s="48"/>
    </row>
    <row r="13" spans="1:12" s="7" customFormat="1" ht="15">
      <c r="A13" s="108"/>
      <c r="B13" s="115"/>
      <c r="C13" s="116"/>
      <c r="D13" s="109"/>
      <c r="E13" s="108"/>
      <c r="F13" s="108"/>
      <c r="G13" s="108"/>
      <c r="H13" s="108"/>
      <c r="I13" s="108"/>
      <c r="J13" s="108"/>
      <c r="K13" s="121"/>
      <c r="L13" s="48"/>
    </row>
    <row r="14" spans="1:11" ht="26.25" customHeight="1">
      <c r="A14" s="543" t="s">
        <v>289</v>
      </c>
      <c r="B14" s="558" t="s">
        <v>276</v>
      </c>
      <c r="C14" s="479" t="s">
        <v>290</v>
      </c>
      <c r="D14" s="552" t="s">
        <v>51</v>
      </c>
      <c r="E14" s="543" t="s">
        <v>367</v>
      </c>
      <c r="F14" s="543"/>
      <c r="G14" s="543"/>
      <c r="H14" s="543"/>
      <c r="I14" s="543"/>
      <c r="J14" s="479" t="s">
        <v>297</v>
      </c>
      <c r="K14" s="482" t="s">
        <v>52</v>
      </c>
    </row>
    <row r="15" spans="1:11" ht="15">
      <c r="A15" s="543"/>
      <c r="B15" s="559"/>
      <c r="C15" s="480"/>
      <c r="D15" s="552"/>
      <c r="E15" s="544" t="s">
        <v>368</v>
      </c>
      <c r="F15" s="545" t="s">
        <v>285</v>
      </c>
      <c r="G15" s="545"/>
      <c r="H15" s="545"/>
      <c r="I15" s="545"/>
      <c r="J15" s="521"/>
      <c r="K15" s="526"/>
    </row>
    <row r="16" spans="1:19" ht="38.25" customHeight="1">
      <c r="A16" s="543"/>
      <c r="B16" s="560"/>
      <c r="C16" s="481"/>
      <c r="D16" s="552"/>
      <c r="E16" s="544"/>
      <c r="F16" s="124" t="s">
        <v>363</v>
      </c>
      <c r="G16" s="124" t="s">
        <v>286</v>
      </c>
      <c r="H16" s="124" t="s">
        <v>287</v>
      </c>
      <c r="I16" s="124" t="s">
        <v>53</v>
      </c>
      <c r="J16" s="551"/>
      <c r="K16" s="483"/>
      <c r="L16" s="49"/>
      <c r="M16" s="1"/>
      <c r="N16" s="1"/>
      <c r="O16" s="1"/>
      <c r="P16" s="1"/>
      <c r="Q16" s="1"/>
      <c r="R16" s="1"/>
      <c r="S16" s="1"/>
    </row>
    <row r="17" spans="1:11" ht="13.5" customHeight="1">
      <c r="A17" s="125">
        <v>1</v>
      </c>
      <c r="B17" s="126">
        <v>2</v>
      </c>
      <c r="C17" s="125">
        <v>3</v>
      </c>
      <c r="D17" s="127">
        <v>4</v>
      </c>
      <c r="E17" s="128">
        <v>5</v>
      </c>
      <c r="F17" s="125">
        <v>6</v>
      </c>
      <c r="G17" s="125">
        <v>7</v>
      </c>
      <c r="H17" s="125">
        <v>8</v>
      </c>
      <c r="I17" s="125">
        <v>9</v>
      </c>
      <c r="J17" s="129">
        <v>10</v>
      </c>
      <c r="K17" s="130">
        <v>11</v>
      </c>
    </row>
    <row r="18" spans="1:13" ht="15.75" customHeight="1">
      <c r="A18" s="131" t="s">
        <v>573</v>
      </c>
      <c r="B18" s="558"/>
      <c r="C18" s="479"/>
      <c r="D18" s="132" t="s">
        <v>236</v>
      </c>
      <c r="E18" s="133">
        <f>F18+G18+H18+I18</f>
        <v>910591.05</v>
      </c>
      <c r="F18" s="134">
        <f>53500+6499+2059.15+155992</f>
        <v>218050.15</v>
      </c>
      <c r="G18" s="134">
        <f>140000+15000+26264.1+27988.7-6020+300746.2+2.3-84000</f>
        <v>419981.3</v>
      </c>
      <c r="H18" s="134"/>
      <c r="I18" s="134">
        <f>92142.4+11256+11995.1-2580+195744.9+0.2+1-36000</f>
        <v>272559.60000000003</v>
      </c>
      <c r="J18" s="135" t="s">
        <v>231</v>
      </c>
      <c r="K18" s="436" t="s">
        <v>77</v>
      </c>
      <c r="L18" s="49"/>
      <c r="M18" s="2"/>
    </row>
    <row r="19" spans="1:15" ht="16.5" customHeight="1">
      <c r="A19" s="136" t="s">
        <v>517</v>
      </c>
      <c r="B19" s="559"/>
      <c r="C19" s="480"/>
      <c r="D19" s="137" t="s">
        <v>426</v>
      </c>
      <c r="E19" s="138">
        <f>F19+G19+H19+I19</f>
        <v>250482.71000000002</v>
      </c>
      <c r="F19" s="139">
        <v>27818.57</v>
      </c>
      <c r="G19" s="140">
        <v>147800</v>
      </c>
      <c r="H19" s="140"/>
      <c r="I19" s="140">
        <f>72019.44+2844.7</f>
        <v>74864.14</v>
      </c>
      <c r="J19" s="135" t="s">
        <v>202</v>
      </c>
      <c r="K19" s="446"/>
      <c r="L19" s="50"/>
      <c r="M19" s="1"/>
      <c r="N19" s="1"/>
      <c r="O19" s="2"/>
    </row>
    <row r="20" spans="1:11" ht="13.5" customHeight="1">
      <c r="A20" s="136"/>
      <c r="B20" s="559"/>
      <c r="C20" s="480"/>
      <c r="D20" s="127">
        <v>2016</v>
      </c>
      <c r="E20" s="138">
        <f>F20+G20+H20+I20</f>
        <v>319285</v>
      </c>
      <c r="F20" s="140">
        <v>53500</v>
      </c>
      <c r="G20" s="140">
        <v>170000</v>
      </c>
      <c r="H20" s="140"/>
      <c r="I20" s="140">
        <v>95785</v>
      </c>
      <c r="J20" s="141" t="s">
        <v>256</v>
      </c>
      <c r="K20" s="446"/>
    </row>
    <row r="21" spans="1:12" ht="13.5" customHeight="1">
      <c r="A21" s="136"/>
      <c r="B21" s="559"/>
      <c r="C21" s="480"/>
      <c r="D21" s="127">
        <v>2017</v>
      </c>
      <c r="E21" s="138">
        <f>F21+G21+I21</f>
        <v>319285</v>
      </c>
      <c r="F21" s="140">
        <v>53500</v>
      </c>
      <c r="G21" s="140">
        <v>170000</v>
      </c>
      <c r="H21" s="140"/>
      <c r="I21" s="140">
        <v>95785</v>
      </c>
      <c r="J21" s="141" t="s">
        <v>59</v>
      </c>
      <c r="K21" s="446"/>
      <c r="L21" s="49"/>
    </row>
    <row r="22" spans="1:12" ht="13.5" customHeight="1">
      <c r="A22" s="136"/>
      <c r="B22" s="559"/>
      <c r="C22" s="480"/>
      <c r="D22" s="127">
        <v>2018</v>
      </c>
      <c r="E22" s="138">
        <f>F22+G22+I22</f>
        <v>319285</v>
      </c>
      <c r="F22" s="140">
        <v>53500</v>
      </c>
      <c r="G22" s="140">
        <v>170000</v>
      </c>
      <c r="H22" s="140"/>
      <c r="I22" s="140">
        <v>95785</v>
      </c>
      <c r="J22" s="141" t="s">
        <v>59</v>
      </c>
      <c r="K22" s="446"/>
      <c r="L22" s="49"/>
    </row>
    <row r="23" spans="1:12" s="37" customFormat="1" ht="13.5" customHeight="1">
      <c r="A23" s="136" t="s">
        <v>518</v>
      </c>
      <c r="B23" s="559"/>
      <c r="C23" s="480"/>
      <c r="D23" s="137" t="s">
        <v>237</v>
      </c>
      <c r="E23" s="138">
        <f>F23+G23+I23</f>
        <v>343172.03599999996</v>
      </c>
      <c r="F23" s="140">
        <f>23824+2059.15+80455</f>
        <v>106338.15</v>
      </c>
      <c r="G23" s="140">
        <f>70590+172727.7-113817.7+5000</f>
        <v>134500</v>
      </c>
      <c r="H23" s="140"/>
      <c r="I23" s="140">
        <f>40463.1+108506.9-48779.014+2142.9</f>
        <v>102333.886</v>
      </c>
      <c r="J23" s="141" t="s">
        <v>218</v>
      </c>
      <c r="K23" s="446"/>
      <c r="L23" s="51"/>
    </row>
    <row r="24" spans="1:16" ht="13.5" customHeight="1">
      <c r="A24" s="142"/>
      <c r="B24" s="559"/>
      <c r="C24" s="480"/>
      <c r="D24" s="137" t="s">
        <v>426</v>
      </c>
      <c r="E24" s="138">
        <f>F24+G24+I24</f>
        <v>99844.97</v>
      </c>
      <c r="F24" s="139">
        <v>17188.27</v>
      </c>
      <c r="G24" s="140">
        <v>52938.8</v>
      </c>
      <c r="H24" s="140"/>
      <c r="I24" s="140">
        <f>28696.5+1021.4</f>
        <v>29717.9</v>
      </c>
      <c r="J24" s="135" t="s">
        <v>203</v>
      </c>
      <c r="K24" s="446"/>
      <c r="L24" s="81"/>
      <c r="M24" s="39" t="s">
        <v>377</v>
      </c>
      <c r="N24" s="39"/>
      <c r="O24" s="39"/>
      <c r="P24" s="39"/>
    </row>
    <row r="25" spans="1:16" ht="13.5" customHeight="1">
      <c r="A25" s="143"/>
      <c r="B25" s="559"/>
      <c r="C25" s="480"/>
      <c r="D25" s="132">
        <v>2016</v>
      </c>
      <c r="E25" s="133">
        <v>114897</v>
      </c>
      <c r="F25" s="134">
        <v>26728</v>
      </c>
      <c r="G25" s="134">
        <v>53700</v>
      </c>
      <c r="H25" s="134"/>
      <c r="I25" s="134">
        <v>34469</v>
      </c>
      <c r="J25" s="141" t="s">
        <v>291</v>
      </c>
      <c r="K25" s="446"/>
      <c r="L25" s="81"/>
      <c r="M25" s="39"/>
      <c r="N25" s="39"/>
      <c r="O25" s="39"/>
      <c r="P25" s="39"/>
    </row>
    <row r="26" spans="1:16" ht="13.5" customHeight="1">
      <c r="A26" s="480"/>
      <c r="B26" s="559"/>
      <c r="C26" s="480"/>
      <c r="D26" s="144">
        <v>2017</v>
      </c>
      <c r="E26" s="145">
        <f>F26+G26+I26</f>
        <v>111235.5</v>
      </c>
      <c r="F26" s="146">
        <v>28994.5</v>
      </c>
      <c r="G26" s="146">
        <v>48950</v>
      </c>
      <c r="H26" s="146"/>
      <c r="I26" s="146">
        <v>33291</v>
      </c>
      <c r="J26" s="147" t="s">
        <v>248</v>
      </c>
      <c r="K26" s="446"/>
      <c r="L26" s="81"/>
      <c r="M26" s="39" t="s">
        <v>56</v>
      </c>
      <c r="N26" s="39" t="s">
        <v>223</v>
      </c>
      <c r="O26" s="39" t="s">
        <v>224</v>
      </c>
      <c r="P26" s="39" t="s">
        <v>225</v>
      </c>
    </row>
    <row r="27" spans="1:16" ht="13.5" customHeight="1" thickBot="1">
      <c r="A27" s="555"/>
      <c r="B27" s="583"/>
      <c r="C27" s="555"/>
      <c r="D27" s="148">
        <v>2018</v>
      </c>
      <c r="E27" s="149">
        <f>F27+G27+I27</f>
        <v>111235.5</v>
      </c>
      <c r="F27" s="150">
        <v>28994.5</v>
      </c>
      <c r="G27" s="150">
        <v>48950</v>
      </c>
      <c r="H27" s="150"/>
      <c r="I27" s="150">
        <v>33291</v>
      </c>
      <c r="J27" s="151" t="s">
        <v>248</v>
      </c>
      <c r="K27" s="490"/>
      <c r="L27" s="81"/>
      <c r="M27" s="39"/>
      <c r="N27" s="39"/>
      <c r="O27" s="39"/>
      <c r="P27" s="39"/>
    </row>
    <row r="28" spans="1:17" ht="28.5" customHeight="1" thickTop="1">
      <c r="A28" s="152" t="s">
        <v>574</v>
      </c>
      <c r="B28" s="153"/>
      <c r="C28" s="154"/>
      <c r="D28" s="155">
        <v>2014</v>
      </c>
      <c r="E28" s="156">
        <f>E521+E586+E342+E146+E51+E626+E170+E629</f>
        <v>890317.1799999999</v>
      </c>
      <c r="F28" s="156">
        <f>F521+F586+F342+F146+F51+F626+F170+F629</f>
        <v>130539</v>
      </c>
      <c r="G28" s="156">
        <f>G521+G586+G342+G146+G51+G626+G170+G629</f>
        <v>662365.14</v>
      </c>
      <c r="H28" s="156">
        <f>H521+H586+H342+H146+H51+H626+H170+H629</f>
        <v>97413.04</v>
      </c>
      <c r="I28" s="157"/>
      <c r="J28" s="158"/>
      <c r="K28" s="624"/>
      <c r="L28" s="81">
        <v>2014</v>
      </c>
      <c r="M28" s="42">
        <f aca="true" t="shared" si="0" ref="M28:P29">E51-E34+E146+E170+E342+E626+E629</f>
        <v>583347.45</v>
      </c>
      <c r="N28" s="42">
        <f t="shared" si="0"/>
        <v>59276</v>
      </c>
      <c r="O28" s="42">
        <f t="shared" si="0"/>
        <v>440840.41</v>
      </c>
      <c r="P28" s="42">
        <f t="shared" si="0"/>
        <v>83231.04</v>
      </c>
      <c r="Q28" s="2"/>
    </row>
    <row r="29" spans="1:17" ht="17.25" customHeight="1">
      <c r="A29" s="136" t="s">
        <v>292</v>
      </c>
      <c r="B29" s="159"/>
      <c r="C29" s="160"/>
      <c r="D29" s="137">
        <v>2015</v>
      </c>
      <c r="E29" s="133">
        <f>E522+E587+E343+E147+E52+E627+E171+E630+E632+E634</f>
        <v>1496803.9000000001</v>
      </c>
      <c r="F29" s="133">
        <f>F522+F587+F343+F147+F52+F627+F171+F630+F632+F634</f>
        <v>77330</v>
      </c>
      <c r="G29" s="133">
        <f>G522+G587+G343+G147+G52+G627+G171+G630+G632+G634</f>
        <v>1264640.5</v>
      </c>
      <c r="H29" s="133">
        <f>H522+H587+H343+H147+H52+H627+H171+H630+H632+H634</f>
        <v>154833.4</v>
      </c>
      <c r="I29" s="161"/>
      <c r="J29" s="162"/>
      <c r="K29" s="625"/>
      <c r="L29" s="81">
        <v>2015</v>
      </c>
      <c r="M29" s="41">
        <f t="shared" si="0"/>
        <v>1115871</v>
      </c>
      <c r="N29" s="41">
        <f t="shared" si="0"/>
        <v>44850</v>
      </c>
      <c r="O29" s="41">
        <f t="shared" si="0"/>
        <v>931837.8</v>
      </c>
      <c r="P29" s="41">
        <f t="shared" si="0"/>
        <v>139183.19999999998</v>
      </c>
      <c r="Q29" s="2"/>
    </row>
    <row r="30" spans="1:17" ht="17.25" customHeight="1">
      <c r="A30" s="136" t="s">
        <v>500</v>
      </c>
      <c r="B30" s="163"/>
      <c r="C30" s="160"/>
      <c r="D30" s="164">
        <v>2016</v>
      </c>
      <c r="E30" s="138">
        <f>E523+E588+E344+E148+E53+E628+E631+E633</f>
        <v>1312677.249</v>
      </c>
      <c r="F30" s="138">
        <f>F523+F588+F344+F148+F53+F628+F631+F633</f>
        <v>66163</v>
      </c>
      <c r="G30" s="138">
        <f>G523+G588+G344+G148+G53+G628+G631+G633</f>
        <v>992296.349</v>
      </c>
      <c r="H30" s="138">
        <f>H523+H588+H344+H148+H53+H628+H631+H633</f>
        <v>254217.9</v>
      </c>
      <c r="I30" s="161"/>
      <c r="J30" s="162"/>
      <c r="K30" s="625"/>
      <c r="L30" s="81">
        <v>2016</v>
      </c>
      <c r="M30" s="41">
        <f>E53-E36+E148+E344+E628+E631</f>
        <v>1057405.349</v>
      </c>
      <c r="N30" s="41">
        <f>F53-F36+F148+F344+F628+F631</f>
        <v>56163</v>
      </c>
      <c r="O30" s="41">
        <f>G53-G36+G148+G344+G628+G631</f>
        <v>764126.349</v>
      </c>
      <c r="P30" s="41">
        <f>H53-H36+H148+H344+H628+H631</f>
        <v>237116</v>
      </c>
      <c r="Q30" s="2"/>
    </row>
    <row r="31" spans="1:17" ht="17.25" customHeight="1">
      <c r="A31" s="136"/>
      <c r="B31" s="163"/>
      <c r="C31" s="160"/>
      <c r="D31" s="164">
        <v>2017</v>
      </c>
      <c r="E31" s="138">
        <f>E56+E149+E345+E524</f>
        <v>995650</v>
      </c>
      <c r="F31" s="138">
        <f>F56+F149+F345+F524</f>
        <v>24263</v>
      </c>
      <c r="G31" s="138">
        <f>G56+G149+G345+G524</f>
        <v>920712</v>
      </c>
      <c r="H31" s="138">
        <f>H56+H149+H345+H524</f>
        <v>50675</v>
      </c>
      <c r="I31" s="161"/>
      <c r="J31" s="162"/>
      <c r="K31" s="625"/>
      <c r="L31" s="81">
        <v>2017</v>
      </c>
      <c r="M31" s="41">
        <f>E56+E149+E345</f>
        <v>898390</v>
      </c>
      <c r="N31" s="41">
        <f>F56+F149+F345</f>
        <v>24263</v>
      </c>
      <c r="O31" s="41">
        <f>G56+G149+G345</f>
        <v>827542</v>
      </c>
      <c r="P31" s="41">
        <f>H56+H149+H345</f>
        <v>46585</v>
      </c>
      <c r="Q31" s="2"/>
    </row>
    <row r="32" spans="1:17" ht="17.25" customHeight="1" thickBot="1">
      <c r="A32" s="165"/>
      <c r="B32" s="166"/>
      <c r="C32" s="167"/>
      <c r="D32" s="168">
        <v>2018</v>
      </c>
      <c r="E32" s="169">
        <f>E150+E346+E525</f>
        <v>617572.8</v>
      </c>
      <c r="F32" s="169">
        <f>F150+F346+F525</f>
        <v>20000</v>
      </c>
      <c r="G32" s="169">
        <f>G150+G346+G525</f>
        <v>589247.3</v>
      </c>
      <c r="H32" s="169">
        <f>H150+H346+H525</f>
        <v>8325.5</v>
      </c>
      <c r="I32" s="149"/>
      <c r="J32" s="151"/>
      <c r="K32" s="626"/>
      <c r="L32" s="81">
        <v>2018</v>
      </c>
      <c r="M32" s="41">
        <f>E150+E346</f>
        <v>493173.4</v>
      </c>
      <c r="N32" s="41">
        <f>F150+F346</f>
        <v>20000</v>
      </c>
      <c r="O32" s="41">
        <f>G150+G346</f>
        <v>467462.9</v>
      </c>
      <c r="P32" s="41">
        <f>H150+H346</f>
        <v>5710.5</v>
      </c>
      <c r="Q32" s="2"/>
    </row>
    <row r="33" spans="1:16" ht="17.25" customHeight="1" thickTop="1">
      <c r="A33" s="645" t="s">
        <v>501</v>
      </c>
      <c r="B33" s="646"/>
      <c r="C33" s="646"/>
      <c r="D33" s="646"/>
      <c r="E33" s="646"/>
      <c r="F33" s="646"/>
      <c r="G33" s="646"/>
      <c r="H33" s="646"/>
      <c r="I33" s="646"/>
      <c r="J33" s="646"/>
      <c r="K33" s="647"/>
      <c r="L33" s="81"/>
      <c r="M33" s="39"/>
      <c r="N33" s="39"/>
      <c r="O33" s="39"/>
      <c r="P33" s="39"/>
    </row>
    <row r="34" spans="1:11" ht="17.25" customHeight="1">
      <c r="A34" s="449" t="s">
        <v>369</v>
      </c>
      <c r="B34" s="438" t="s">
        <v>353</v>
      </c>
      <c r="C34" s="436" t="s">
        <v>253</v>
      </c>
      <c r="D34" s="170">
        <v>2014</v>
      </c>
      <c r="E34" s="107">
        <f>G34+H34+F34</f>
        <v>43000</v>
      </c>
      <c r="F34" s="171"/>
      <c r="G34" s="171">
        <f>30000+10000</f>
        <v>40000</v>
      </c>
      <c r="H34" s="171">
        <v>3000</v>
      </c>
      <c r="I34" s="172"/>
      <c r="J34" s="479" t="s">
        <v>532</v>
      </c>
      <c r="K34" s="479" t="s">
        <v>78</v>
      </c>
    </row>
    <row r="35" spans="1:11" ht="46.5" customHeight="1">
      <c r="A35" s="450"/>
      <c r="B35" s="451"/>
      <c r="C35" s="446"/>
      <c r="D35" s="170">
        <v>2015</v>
      </c>
      <c r="E35" s="107">
        <f>G35+H35+F35</f>
        <v>59091.6</v>
      </c>
      <c r="F35" s="171"/>
      <c r="G35" s="171">
        <f>24741.6+30600</f>
        <v>55341.6</v>
      </c>
      <c r="H35" s="171">
        <v>3750</v>
      </c>
      <c r="I35" s="172"/>
      <c r="J35" s="480"/>
      <c r="K35" s="480"/>
    </row>
    <row r="36" spans="1:11" ht="54" customHeight="1" hidden="1">
      <c r="A36" s="452"/>
      <c r="B36" s="439"/>
      <c r="C36" s="437"/>
      <c r="D36" s="170">
        <v>2016</v>
      </c>
      <c r="E36" s="107">
        <f>G36+H36</f>
        <v>36750</v>
      </c>
      <c r="F36" s="171"/>
      <c r="G36" s="171">
        <v>35000</v>
      </c>
      <c r="H36" s="171">
        <v>1750</v>
      </c>
      <c r="I36" s="172"/>
      <c r="J36" s="481"/>
      <c r="K36" s="481"/>
    </row>
    <row r="37" spans="1:11" ht="36.75" customHeight="1">
      <c r="A37" s="449" t="s">
        <v>378</v>
      </c>
      <c r="B37" s="438" t="s">
        <v>355</v>
      </c>
      <c r="C37" s="87" t="s">
        <v>253</v>
      </c>
      <c r="D37" s="170">
        <v>2014</v>
      </c>
      <c r="E37" s="107">
        <f>F37+G37+H37</f>
        <v>20000</v>
      </c>
      <c r="F37" s="171">
        <f>10000-10000</f>
        <v>0</v>
      </c>
      <c r="G37" s="171">
        <f>50000-30000-10000</f>
        <v>10000</v>
      </c>
      <c r="H37" s="171">
        <f>33333-23333</f>
        <v>10000</v>
      </c>
      <c r="I37" s="172"/>
      <c r="J37" s="93"/>
      <c r="K37" s="436" t="s">
        <v>79</v>
      </c>
    </row>
    <row r="38" spans="1:11" ht="17.25" customHeight="1">
      <c r="A38" s="450"/>
      <c r="B38" s="451"/>
      <c r="C38" s="173"/>
      <c r="D38" s="174">
        <v>2015</v>
      </c>
      <c r="E38" s="98">
        <f>G38+H38+F38</f>
        <v>130259</v>
      </c>
      <c r="F38" s="175">
        <v>4620</v>
      </c>
      <c r="G38" s="175">
        <f>98458-38458</f>
        <v>60000</v>
      </c>
      <c r="H38" s="175">
        <v>65639</v>
      </c>
      <c r="I38" s="176"/>
      <c r="J38" s="177"/>
      <c r="K38" s="446"/>
    </row>
    <row r="39" spans="1:11" ht="20.25" customHeight="1" hidden="1">
      <c r="A39" s="450"/>
      <c r="B39" s="451"/>
      <c r="C39" s="173"/>
      <c r="D39" s="174">
        <v>2016</v>
      </c>
      <c r="E39" s="98">
        <f>F39+G39+H39</f>
        <v>342570</v>
      </c>
      <c r="F39" s="175">
        <v>10000</v>
      </c>
      <c r="G39" s="175">
        <v>195542</v>
      </c>
      <c r="H39" s="175">
        <v>137028</v>
      </c>
      <c r="I39" s="176"/>
      <c r="J39" s="99"/>
      <c r="K39" s="547"/>
    </row>
    <row r="40" spans="1:11" ht="20.25" customHeight="1" hidden="1">
      <c r="A40" s="450"/>
      <c r="B40" s="95"/>
      <c r="C40" s="173"/>
      <c r="D40" s="174">
        <v>2017</v>
      </c>
      <c r="E40" s="98">
        <f>G40+H40</f>
        <v>20000</v>
      </c>
      <c r="F40" s="175"/>
      <c r="G40" s="175">
        <v>18000</v>
      </c>
      <c r="H40" s="175">
        <v>2000</v>
      </c>
      <c r="I40" s="176"/>
      <c r="J40" s="99"/>
      <c r="K40" s="178"/>
    </row>
    <row r="41" spans="1:11" ht="42.75" customHeight="1">
      <c r="A41" s="524" t="s">
        <v>379</v>
      </c>
      <c r="B41" s="516" t="s">
        <v>354</v>
      </c>
      <c r="C41" s="525" t="s">
        <v>253</v>
      </c>
      <c r="D41" s="179">
        <v>2014</v>
      </c>
      <c r="E41" s="107">
        <f>G41+H41+F41</f>
        <v>17200</v>
      </c>
      <c r="F41" s="171">
        <v>5200</v>
      </c>
      <c r="G41" s="171">
        <f>20000-10000</f>
        <v>10000</v>
      </c>
      <c r="H41" s="171">
        <v>2000</v>
      </c>
      <c r="I41" s="171"/>
      <c r="J41" s="525"/>
      <c r="K41" s="433" t="s">
        <v>79</v>
      </c>
    </row>
    <row r="42" spans="1:11" ht="48" customHeight="1">
      <c r="A42" s="524"/>
      <c r="B42" s="516"/>
      <c r="C42" s="525"/>
      <c r="D42" s="179">
        <v>2015</v>
      </c>
      <c r="E42" s="107">
        <f>F42+G42+H42</f>
        <v>69700</v>
      </c>
      <c r="F42" s="171">
        <v>0</v>
      </c>
      <c r="G42" s="171">
        <f>164065.4-100065.4</f>
        <v>64000</v>
      </c>
      <c r="H42" s="171">
        <v>5700</v>
      </c>
      <c r="I42" s="171"/>
      <c r="J42" s="525"/>
      <c r="K42" s="434"/>
    </row>
    <row r="43" spans="1:11" ht="18.75" customHeight="1" hidden="1">
      <c r="A43" s="524"/>
      <c r="B43" s="516"/>
      <c r="C43" s="525"/>
      <c r="D43" s="179">
        <v>2016</v>
      </c>
      <c r="E43" s="107">
        <f>G43+H43</f>
        <v>188253</v>
      </c>
      <c r="F43" s="171"/>
      <c r="G43" s="171">
        <v>150603</v>
      </c>
      <c r="H43" s="171">
        <v>37650</v>
      </c>
      <c r="I43" s="171"/>
      <c r="J43" s="525"/>
      <c r="K43" s="435"/>
    </row>
    <row r="44" spans="1:11" ht="18.75" customHeight="1" hidden="1">
      <c r="A44" s="180"/>
      <c r="B44" s="181"/>
      <c r="C44" s="182"/>
      <c r="D44" s="183">
        <v>2017</v>
      </c>
      <c r="E44" s="103">
        <f>G44+H44</f>
        <v>38770</v>
      </c>
      <c r="F44" s="184"/>
      <c r="G44" s="184">
        <v>37670</v>
      </c>
      <c r="H44" s="184">
        <v>1100</v>
      </c>
      <c r="I44" s="185"/>
      <c r="J44" s="89"/>
      <c r="K44" s="99"/>
    </row>
    <row r="45" spans="1:11" ht="37.5" customHeight="1">
      <c r="A45" s="494" t="s">
        <v>380</v>
      </c>
      <c r="B45" s="438" t="s">
        <v>354</v>
      </c>
      <c r="C45" s="436" t="s">
        <v>253</v>
      </c>
      <c r="D45" s="170">
        <v>2014</v>
      </c>
      <c r="E45" s="107">
        <f>G45+H45+F45</f>
        <v>20926</v>
      </c>
      <c r="F45" s="171"/>
      <c r="G45" s="171">
        <f>25494-15494</f>
        <v>10000</v>
      </c>
      <c r="H45" s="171">
        <v>10926</v>
      </c>
      <c r="I45" s="172"/>
      <c r="J45" s="436"/>
      <c r="K45" s="93" t="s">
        <v>79</v>
      </c>
    </row>
    <row r="46" spans="1:11" ht="17.25" customHeight="1">
      <c r="A46" s="533"/>
      <c r="B46" s="439"/>
      <c r="C46" s="437"/>
      <c r="D46" s="170">
        <v>2015</v>
      </c>
      <c r="E46" s="107">
        <f>G46+H46</f>
        <v>144847</v>
      </c>
      <c r="F46" s="171"/>
      <c r="G46" s="171">
        <f>44506+36059+28849</f>
        <v>109414</v>
      </c>
      <c r="H46" s="171">
        <f>19074+16359</f>
        <v>35433</v>
      </c>
      <c r="I46" s="176"/>
      <c r="J46" s="437"/>
      <c r="K46" s="99"/>
    </row>
    <row r="47" spans="1:11" ht="17.25" customHeight="1" hidden="1">
      <c r="A47" s="556" t="s">
        <v>381</v>
      </c>
      <c r="B47" s="438" t="s">
        <v>294</v>
      </c>
      <c r="C47" s="186" t="s">
        <v>253</v>
      </c>
      <c r="D47" s="553">
        <v>2016</v>
      </c>
      <c r="E47" s="456">
        <f>G47+H47</f>
        <v>158127</v>
      </c>
      <c r="F47" s="442"/>
      <c r="G47" s="442">
        <v>110689</v>
      </c>
      <c r="H47" s="548">
        <v>47438</v>
      </c>
      <c r="I47" s="548"/>
      <c r="J47" s="87" t="s">
        <v>133</v>
      </c>
      <c r="K47" s="187" t="s">
        <v>79</v>
      </c>
    </row>
    <row r="48" spans="1:11" ht="17.25" customHeight="1" hidden="1">
      <c r="A48" s="557"/>
      <c r="B48" s="451"/>
      <c r="C48" s="188"/>
      <c r="D48" s="554"/>
      <c r="E48" s="458"/>
      <c r="F48" s="443"/>
      <c r="G48" s="443"/>
      <c r="H48" s="549"/>
      <c r="I48" s="550"/>
      <c r="J48" s="89"/>
      <c r="K48" s="189"/>
    </row>
    <row r="49" spans="1:11" ht="17.25" customHeight="1" hidden="1">
      <c r="A49" s="190"/>
      <c r="B49" s="439"/>
      <c r="C49" s="191"/>
      <c r="D49" s="179">
        <v>2017</v>
      </c>
      <c r="E49" s="107">
        <f>G49+H49</f>
        <v>68710</v>
      </c>
      <c r="F49" s="171"/>
      <c r="G49" s="171">
        <v>54968</v>
      </c>
      <c r="H49" s="171">
        <v>13742</v>
      </c>
      <c r="I49" s="185"/>
      <c r="J49" s="88"/>
      <c r="K49" s="192"/>
    </row>
    <row r="50" spans="1:11" ht="47.25" customHeight="1" hidden="1">
      <c r="A50" s="193" t="s">
        <v>134</v>
      </c>
      <c r="B50" s="194" t="s">
        <v>294</v>
      </c>
      <c r="C50" s="188" t="s">
        <v>253</v>
      </c>
      <c r="D50" s="195">
        <v>2017</v>
      </c>
      <c r="E50" s="196">
        <f>G50+H50</f>
        <v>93350</v>
      </c>
      <c r="F50" s="197"/>
      <c r="G50" s="197">
        <v>75350</v>
      </c>
      <c r="H50" s="197">
        <v>18000</v>
      </c>
      <c r="I50" s="198"/>
      <c r="J50" s="199"/>
      <c r="K50" s="189"/>
    </row>
    <row r="51" spans="1:11" ht="17.25" customHeight="1">
      <c r="A51" s="570" t="s">
        <v>384</v>
      </c>
      <c r="B51" s="486"/>
      <c r="C51" s="486"/>
      <c r="D51" s="200">
        <v>2014</v>
      </c>
      <c r="E51" s="85">
        <f aca="true" t="shared" si="1" ref="E51:H53">E34+E37+E41+E45</f>
        <v>101126</v>
      </c>
      <c r="F51" s="85">
        <f t="shared" si="1"/>
        <v>5200</v>
      </c>
      <c r="G51" s="85">
        <f t="shared" si="1"/>
        <v>70000</v>
      </c>
      <c r="H51" s="85">
        <f t="shared" si="1"/>
        <v>25926</v>
      </c>
      <c r="I51" s="85"/>
      <c r="J51" s="84"/>
      <c r="K51" s="486"/>
    </row>
    <row r="52" spans="1:11" ht="17.25" customHeight="1">
      <c r="A52" s="463"/>
      <c r="B52" s="487"/>
      <c r="C52" s="487"/>
      <c r="D52" s="201">
        <v>2015</v>
      </c>
      <c r="E52" s="85">
        <f t="shared" si="1"/>
        <v>403897.6</v>
      </c>
      <c r="F52" s="85">
        <f t="shared" si="1"/>
        <v>4620</v>
      </c>
      <c r="G52" s="85">
        <f t="shared" si="1"/>
        <v>288755.6</v>
      </c>
      <c r="H52" s="85">
        <f t="shared" si="1"/>
        <v>110522</v>
      </c>
      <c r="I52" s="171"/>
      <c r="J52" s="84"/>
      <c r="K52" s="487"/>
    </row>
    <row r="53" spans="1:11" ht="17.25" customHeight="1">
      <c r="A53" s="463"/>
      <c r="B53" s="487"/>
      <c r="C53" s="487"/>
      <c r="D53" s="201">
        <v>2016</v>
      </c>
      <c r="E53" s="85">
        <f>F53+G53+H53</f>
        <v>535891</v>
      </c>
      <c r="F53" s="85">
        <f t="shared" si="1"/>
        <v>10000</v>
      </c>
      <c r="G53" s="85">
        <v>302025</v>
      </c>
      <c r="H53" s="85">
        <f t="shared" si="1"/>
        <v>223866</v>
      </c>
      <c r="I53" s="171"/>
      <c r="J53" s="84" t="s">
        <v>528</v>
      </c>
      <c r="K53" s="487"/>
    </row>
    <row r="54" spans="1:11" ht="17.25" customHeight="1" hidden="1" thickTop="1">
      <c r="A54" s="463"/>
      <c r="B54" s="487"/>
      <c r="C54" s="487"/>
      <c r="D54" s="201"/>
      <c r="E54" s="85">
        <f>F54+G54+H54</f>
        <v>0</v>
      </c>
      <c r="F54" s="202"/>
      <c r="G54" s="202"/>
      <c r="H54" s="202"/>
      <c r="I54" s="171"/>
      <c r="J54" s="203"/>
      <c r="K54" s="487"/>
    </row>
    <row r="55" spans="1:11" ht="17.25" customHeight="1" hidden="1">
      <c r="A55" s="463"/>
      <c r="B55" s="487"/>
      <c r="C55" s="487"/>
      <c r="D55" s="201"/>
      <c r="E55" s="85">
        <f>F55+G55+H55</f>
        <v>0</v>
      </c>
      <c r="F55" s="202"/>
      <c r="G55" s="202"/>
      <c r="H55" s="202"/>
      <c r="I55" s="171"/>
      <c r="J55" s="203"/>
      <c r="K55" s="487"/>
    </row>
    <row r="56" spans="1:13" ht="17.25" customHeight="1" thickBot="1">
      <c r="A56" s="571"/>
      <c r="B56" s="488"/>
      <c r="C56" s="488"/>
      <c r="D56" s="204">
        <v>2017</v>
      </c>
      <c r="E56" s="205">
        <f>F56+G56+H56</f>
        <v>482424</v>
      </c>
      <c r="F56" s="205">
        <f>F40+F49+F44+F50</f>
        <v>0</v>
      </c>
      <c r="G56" s="205">
        <v>447582</v>
      </c>
      <c r="H56" s="205">
        <f>H40+H49+H44+H50</f>
        <v>34842</v>
      </c>
      <c r="I56" s="206"/>
      <c r="J56" s="207" t="s">
        <v>135</v>
      </c>
      <c r="K56" s="488"/>
      <c r="M56" s="2"/>
    </row>
    <row r="57" spans="1:13" ht="17.25" customHeight="1" hidden="1" thickBot="1">
      <c r="A57" s="208"/>
      <c r="B57" s="208"/>
      <c r="C57" s="208"/>
      <c r="D57" s="209"/>
      <c r="E57" s="177"/>
      <c r="F57" s="177"/>
      <c r="G57" s="177"/>
      <c r="H57" s="177"/>
      <c r="I57" s="197"/>
      <c r="J57" s="210"/>
      <c r="K57" s="208"/>
      <c r="M57" s="2"/>
    </row>
    <row r="58" spans="1:12" ht="22.5" customHeight="1" thickTop="1">
      <c r="A58" s="505" t="s">
        <v>502</v>
      </c>
      <c r="B58" s="506"/>
      <c r="C58" s="506"/>
      <c r="D58" s="506"/>
      <c r="E58" s="506"/>
      <c r="F58" s="506"/>
      <c r="G58" s="506"/>
      <c r="H58" s="506"/>
      <c r="I58" s="506"/>
      <c r="J58" s="506"/>
      <c r="K58" s="507"/>
      <c r="L58" s="52"/>
    </row>
    <row r="59" spans="1:12" ht="17.25" customHeight="1" hidden="1" thickTop="1">
      <c r="A59" s="495" t="s">
        <v>382</v>
      </c>
      <c r="B59" s="451" t="s">
        <v>352</v>
      </c>
      <c r="C59" s="446" t="s">
        <v>255</v>
      </c>
      <c r="D59" s="469">
        <v>2017</v>
      </c>
      <c r="E59" s="457">
        <f>F59+G59</f>
        <v>24500</v>
      </c>
      <c r="F59" s="457">
        <v>11000</v>
      </c>
      <c r="G59" s="457">
        <v>13500</v>
      </c>
      <c r="H59" s="457"/>
      <c r="I59" s="457"/>
      <c r="J59" s="537" t="s">
        <v>140</v>
      </c>
      <c r="K59" s="99" t="s">
        <v>80</v>
      </c>
      <c r="L59" s="52"/>
    </row>
    <row r="60" spans="1:12" ht="48" customHeight="1" hidden="1">
      <c r="A60" s="533"/>
      <c r="B60" s="439"/>
      <c r="C60" s="514"/>
      <c r="D60" s="466"/>
      <c r="E60" s="458"/>
      <c r="F60" s="458"/>
      <c r="G60" s="458"/>
      <c r="H60" s="458"/>
      <c r="I60" s="458"/>
      <c r="J60" s="538"/>
      <c r="K60" s="104"/>
      <c r="L60" s="52"/>
    </row>
    <row r="61" spans="1:12" ht="52.5" customHeight="1">
      <c r="A61" s="449" t="s">
        <v>445</v>
      </c>
      <c r="B61" s="438" t="s">
        <v>352</v>
      </c>
      <c r="C61" s="436" t="s">
        <v>254</v>
      </c>
      <c r="D61" s="211">
        <v>2014</v>
      </c>
      <c r="E61" s="107">
        <f>F61+G61+H61</f>
        <v>15000</v>
      </c>
      <c r="F61" s="107">
        <f>4087-4087</f>
        <v>0</v>
      </c>
      <c r="G61" s="107">
        <f>18913+4087-8000</f>
        <v>15000</v>
      </c>
      <c r="H61" s="107"/>
      <c r="I61" s="107"/>
      <c r="J61" s="531" t="s">
        <v>60</v>
      </c>
      <c r="K61" s="436" t="s">
        <v>80</v>
      </c>
      <c r="L61" s="52"/>
    </row>
    <row r="62" spans="1:12" ht="25.5" customHeight="1">
      <c r="A62" s="452"/>
      <c r="B62" s="439"/>
      <c r="C62" s="437"/>
      <c r="D62" s="211">
        <v>2015</v>
      </c>
      <c r="E62" s="107">
        <f>F62+G62+H62</f>
        <v>18900</v>
      </c>
      <c r="F62" s="107"/>
      <c r="G62" s="107">
        <f>8000+10917-17</f>
        <v>18900</v>
      </c>
      <c r="H62" s="107"/>
      <c r="I62" s="107"/>
      <c r="J62" s="532"/>
      <c r="K62" s="437"/>
      <c r="L62" s="52"/>
    </row>
    <row r="63" spans="1:12" ht="57" customHeight="1">
      <c r="A63" s="449" t="s">
        <v>446</v>
      </c>
      <c r="B63" s="438" t="s">
        <v>352</v>
      </c>
      <c r="C63" s="436" t="s">
        <v>254</v>
      </c>
      <c r="D63" s="211">
        <v>2014</v>
      </c>
      <c r="E63" s="107">
        <f>SUM(F63:G63)</f>
        <v>16728</v>
      </c>
      <c r="F63" s="171">
        <f>4728-4728</f>
        <v>0</v>
      </c>
      <c r="G63" s="171">
        <f>20000+4728-8000</f>
        <v>16728</v>
      </c>
      <c r="H63" s="171"/>
      <c r="I63" s="107"/>
      <c r="J63" s="531" t="s">
        <v>60</v>
      </c>
      <c r="K63" s="433" t="s">
        <v>80</v>
      </c>
      <c r="L63" s="52"/>
    </row>
    <row r="64" spans="1:12" ht="18" customHeight="1">
      <c r="A64" s="452"/>
      <c r="B64" s="439"/>
      <c r="C64" s="437"/>
      <c r="D64" s="211">
        <v>2015</v>
      </c>
      <c r="E64" s="107">
        <f>SUM(F64:G64)</f>
        <v>17550.8</v>
      </c>
      <c r="F64" s="171"/>
      <c r="G64" s="171">
        <f>8000+9617-66.2</f>
        <v>17550.8</v>
      </c>
      <c r="H64" s="171"/>
      <c r="I64" s="107"/>
      <c r="J64" s="532"/>
      <c r="K64" s="435"/>
      <c r="L64" s="52"/>
    </row>
    <row r="65" spans="1:12" ht="51.75" customHeight="1">
      <c r="A65" s="449" t="s">
        <v>447</v>
      </c>
      <c r="B65" s="438" t="s">
        <v>352</v>
      </c>
      <c r="C65" s="436" t="s">
        <v>254</v>
      </c>
      <c r="D65" s="211">
        <v>2014</v>
      </c>
      <c r="E65" s="107">
        <f>F65+G65+H65</f>
        <v>5000</v>
      </c>
      <c r="F65" s="171"/>
      <c r="G65" s="171">
        <f>21132-16132</f>
        <v>5000</v>
      </c>
      <c r="H65" s="171"/>
      <c r="I65" s="107"/>
      <c r="J65" s="531" t="s">
        <v>61</v>
      </c>
      <c r="K65" s="433" t="s">
        <v>80</v>
      </c>
      <c r="L65" s="60"/>
    </row>
    <row r="66" spans="1:12" ht="18.75" customHeight="1">
      <c r="A66" s="452"/>
      <c r="B66" s="439"/>
      <c r="C66" s="437"/>
      <c r="D66" s="211">
        <v>2015</v>
      </c>
      <c r="E66" s="107">
        <f>F66+G66+H66</f>
        <v>16926</v>
      </c>
      <c r="F66" s="171"/>
      <c r="G66" s="171">
        <f>5000+11926</f>
        <v>16926</v>
      </c>
      <c r="H66" s="171"/>
      <c r="I66" s="107"/>
      <c r="J66" s="532"/>
      <c r="K66" s="435"/>
      <c r="L66" s="60"/>
    </row>
    <row r="67" spans="1:12" ht="33.75" customHeight="1">
      <c r="A67" s="449" t="s">
        <v>448</v>
      </c>
      <c r="B67" s="438" t="s">
        <v>269</v>
      </c>
      <c r="C67" s="436" t="s">
        <v>253</v>
      </c>
      <c r="D67" s="211">
        <v>2014</v>
      </c>
      <c r="E67" s="107">
        <f>F67+G67+H67</f>
        <v>5355</v>
      </c>
      <c r="F67" s="171"/>
      <c r="G67" s="171">
        <f>3420+1735</f>
        <v>5155</v>
      </c>
      <c r="H67" s="171">
        <v>200</v>
      </c>
      <c r="I67" s="107"/>
      <c r="J67" s="531" t="s">
        <v>402</v>
      </c>
      <c r="K67" s="433" t="s">
        <v>80</v>
      </c>
      <c r="L67" s="52"/>
    </row>
    <row r="68" spans="1:12" ht="20.25" customHeight="1">
      <c r="A68" s="452"/>
      <c r="B68" s="439"/>
      <c r="C68" s="437"/>
      <c r="D68" s="96">
        <v>2015</v>
      </c>
      <c r="E68" s="98">
        <f>G68+H68</f>
        <v>5166</v>
      </c>
      <c r="F68" s="175"/>
      <c r="G68" s="175">
        <v>4836</v>
      </c>
      <c r="H68" s="175">
        <v>330</v>
      </c>
      <c r="I68" s="98"/>
      <c r="J68" s="532"/>
      <c r="K68" s="435"/>
      <c r="L68" s="52"/>
    </row>
    <row r="69" spans="1:12" ht="27.75" customHeight="1">
      <c r="A69" s="449" t="s">
        <v>449</v>
      </c>
      <c r="B69" s="438" t="s">
        <v>352</v>
      </c>
      <c r="C69" s="436" t="s">
        <v>254</v>
      </c>
      <c r="D69" s="96">
        <v>2014</v>
      </c>
      <c r="E69" s="98">
        <f>G69</f>
        <v>5120.5</v>
      </c>
      <c r="F69" s="175"/>
      <c r="G69" s="175">
        <v>5120.5</v>
      </c>
      <c r="H69" s="175"/>
      <c r="I69" s="98"/>
      <c r="J69" s="531" t="s">
        <v>62</v>
      </c>
      <c r="K69" s="433" t="s">
        <v>80</v>
      </c>
      <c r="L69" s="52"/>
    </row>
    <row r="70" spans="1:12" ht="33.75" customHeight="1">
      <c r="A70" s="450"/>
      <c r="B70" s="451"/>
      <c r="C70" s="446"/>
      <c r="D70" s="465">
        <v>2015</v>
      </c>
      <c r="E70" s="456">
        <f>G70+H71+F70</f>
        <v>23464</v>
      </c>
      <c r="F70" s="442">
        <v>6260</v>
      </c>
      <c r="G70" s="442">
        <f>20000+3464-6260</f>
        <v>17204</v>
      </c>
      <c r="H70" s="442"/>
      <c r="I70" s="456"/>
      <c r="J70" s="561"/>
      <c r="K70" s="434"/>
      <c r="L70" s="52"/>
    </row>
    <row r="71" spans="1:12" ht="32.25" customHeight="1" hidden="1">
      <c r="A71" s="452"/>
      <c r="B71" s="439"/>
      <c r="C71" s="437"/>
      <c r="D71" s="466"/>
      <c r="E71" s="458"/>
      <c r="F71" s="443"/>
      <c r="G71" s="443"/>
      <c r="H71" s="443"/>
      <c r="I71" s="458"/>
      <c r="J71" s="532"/>
      <c r="K71" s="435"/>
      <c r="L71" s="52"/>
    </row>
    <row r="72" spans="1:12" ht="45.75" customHeight="1">
      <c r="A72" s="449" t="s">
        <v>450</v>
      </c>
      <c r="B72" s="438" t="s">
        <v>353</v>
      </c>
      <c r="C72" s="436" t="s">
        <v>253</v>
      </c>
      <c r="D72" s="211">
        <v>2014</v>
      </c>
      <c r="E72" s="107">
        <f>F72+G72+H72</f>
        <v>9840</v>
      </c>
      <c r="F72" s="171">
        <v>7700</v>
      </c>
      <c r="G72" s="171">
        <f>12170-7700-3000</f>
        <v>1470</v>
      </c>
      <c r="H72" s="171">
        <v>670</v>
      </c>
      <c r="I72" s="107"/>
      <c r="J72" s="531" t="s">
        <v>403</v>
      </c>
      <c r="K72" s="433" t="s">
        <v>80</v>
      </c>
      <c r="L72" s="615" t="s">
        <v>429</v>
      </c>
    </row>
    <row r="73" spans="1:12" ht="35.25" customHeight="1">
      <c r="A73" s="452"/>
      <c r="B73" s="439"/>
      <c r="C73" s="437"/>
      <c r="D73" s="211">
        <v>2015</v>
      </c>
      <c r="E73" s="107"/>
      <c r="F73" s="171"/>
      <c r="G73" s="171"/>
      <c r="H73" s="171"/>
      <c r="I73" s="107"/>
      <c r="J73" s="532"/>
      <c r="K73" s="435"/>
      <c r="L73" s="615"/>
    </row>
    <row r="74" spans="1:12" ht="47.25" customHeight="1">
      <c r="A74" s="212" t="s">
        <v>451</v>
      </c>
      <c r="B74" s="194" t="s">
        <v>353</v>
      </c>
      <c r="C74" s="199" t="s">
        <v>253</v>
      </c>
      <c r="D74" s="211">
        <v>2014</v>
      </c>
      <c r="E74" s="107">
        <f>F74+G74+H74</f>
        <v>6777</v>
      </c>
      <c r="F74" s="171"/>
      <c r="G74" s="171">
        <f>5400+1127</f>
        <v>6527</v>
      </c>
      <c r="H74" s="171">
        <v>250</v>
      </c>
      <c r="I74" s="107"/>
      <c r="J74" s="213" t="s">
        <v>58</v>
      </c>
      <c r="K74" s="214" t="s">
        <v>80</v>
      </c>
      <c r="L74" s="52"/>
    </row>
    <row r="75" spans="1:12" ht="39.75" customHeight="1">
      <c r="A75" s="449" t="s">
        <v>452</v>
      </c>
      <c r="B75" s="438" t="s">
        <v>343</v>
      </c>
      <c r="C75" s="436" t="s">
        <v>253</v>
      </c>
      <c r="D75" s="211">
        <v>2014</v>
      </c>
      <c r="E75" s="107">
        <f>F75+G75+H75</f>
        <v>17274.9</v>
      </c>
      <c r="F75" s="171">
        <v>7400</v>
      </c>
      <c r="G75" s="171">
        <f>16220.9-6346</f>
        <v>9874.9</v>
      </c>
      <c r="H75" s="171">
        <f>1000-1000</f>
        <v>0</v>
      </c>
      <c r="I75" s="107"/>
      <c r="J75" s="531" t="s">
        <v>404</v>
      </c>
      <c r="K75" s="467" t="s">
        <v>80</v>
      </c>
      <c r="L75" s="52"/>
    </row>
    <row r="76" spans="1:12" ht="24" customHeight="1">
      <c r="A76" s="452"/>
      <c r="B76" s="439"/>
      <c r="C76" s="437"/>
      <c r="D76" s="96">
        <v>2015</v>
      </c>
      <c r="E76" s="98">
        <f>F76+G76+H76</f>
        <v>484.6</v>
      </c>
      <c r="F76" s="175"/>
      <c r="G76" s="175">
        <v>484.6</v>
      </c>
      <c r="H76" s="175">
        <v>0</v>
      </c>
      <c r="I76" s="98"/>
      <c r="J76" s="532"/>
      <c r="K76" s="468"/>
      <c r="L76" s="52"/>
    </row>
    <row r="77" spans="1:12" ht="20.25" customHeight="1">
      <c r="A77" s="449" t="s">
        <v>453</v>
      </c>
      <c r="B77" s="438" t="s">
        <v>352</v>
      </c>
      <c r="C77" s="436" t="s">
        <v>254</v>
      </c>
      <c r="D77" s="96">
        <v>2014</v>
      </c>
      <c r="E77" s="98">
        <f>G77</f>
        <v>500</v>
      </c>
      <c r="F77" s="175"/>
      <c r="G77" s="175">
        <v>500</v>
      </c>
      <c r="H77" s="175"/>
      <c r="I77" s="98"/>
      <c r="J77" s="531"/>
      <c r="K77" s="467" t="s">
        <v>80</v>
      </c>
      <c r="L77" s="52"/>
    </row>
    <row r="78" spans="1:12" ht="4.5" customHeight="1">
      <c r="A78" s="450"/>
      <c r="B78" s="451"/>
      <c r="C78" s="446"/>
      <c r="D78" s="465">
        <v>2015</v>
      </c>
      <c r="E78" s="456">
        <f>F79+G78+H79</f>
        <v>2000</v>
      </c>
      <c r="F78" s="442"/>
      <c r="G78" s="442">
        <v>2000</v>
      </c>
      <c r="H78" s="442"/>
      <c r="I78" s="456"/>
      <c r="J78" s="561"/>
      <c r="K78" s="470"/>
      <c r="L78" s="52"/>
    </row>
    <row r="79" spans="1:12" ht="27" customHeight="1">
      <c r="A79" s="450"/>
      <c r="B79" s="451"/>
      <c r="C79" s="446"/>
      <c r="D79" s="466"/>
      <c r="E79" s="458"/>
      <c r="F79" s="443"/>
      <c r="G79" s="443"/>
      <c r="H79" s="443"/>
      <c r="I79" s="458"/>
      <c r="J79" s="561"/>
      <c r="K79" s="470"/>
      <c r="L79" s="52"/>
    </row>
    <row r="80" spans="1:12" ht="21.75" customHeight="1" hidden="1">
      <c r="A80" s="452"/>
      <c r="B80" s="439"/>
      <c r="C80" s="437"/>
      <c r="D80" s="215">
        <v>2016</v>
      </c>
      <c r="E80" s="107">
        <f>G80</f>
        <v>21500</v>
      </c>
      <c r="F80" s="171"/>
      <c r="G80" s="171">
        <v>21500</v>
      </c>
      <c r="H80" s="171"/>
      <c r="I80" s="216"/>
      <c r="J80" s="532"/>
      <c r="K80" s="468"/>
      <c r="L80" s="52"/>
    </row>
    <row r="81" spans="1:12" ht="54.75" customHeight="1">
      <c r="A81" s="449" t="s">
        <v>454</v>
      </c>
      <c r="B81" s="438" t="s">
        <v>353</v>
      </c>
      <c r="C81" s="436" t="s">
        <v>253</v>
      </c>
      <c r="D81" s="179">
        <v>2014</v>
      </c>
      <c r="E81" s="107">
        <f>G81+H81</f>
        <v>23103</v>
      </c>
      <c r="F81" s="217"/>
      <c r="G81" s="171">
        <f>32503-10000</f>
        <v>22503</v>
      </c>
      <c r="H81" s="171">
        <v>600</v>
      </c>
      <c r="I81" s="216"/>
      <c r="J81" s="531" t="s">
        <v>405</v>
      </c>
      <c r="K81" s="467" t="s">
        <v>80</v>
      </c>
      <c r="L81" s="52"/>
    </row>
    <row r="82" spans="1:12" ht="26.25" customHeight="1">
      <c r="A82" s="452"/>
      <c r="B82" s="439"/>
      <c r="C82" s="437"/>
      <c r="D82" s="179">
        <v>2015</v>
      </c>
      <c r="E82" s="107">
        <f>G82+H82</f>
        <v>6126.3</v>
      </c>
      <c r="F82" s="217"/>
      <c r="G82" s="171">
        <v>5926.3</v>
      </c>
      <c r="H82" s="171">
        <v>200</v>
      </c>
      <c r="I82" s="216"/>
      <c r="J82" s="532"/>
      <c r="K82" s="468"/>
      <c r="L82" s="52"/>
    </row>
    <row r="83" spans="1:12" ht="17.25" customHeight="1">
      <c r="A83" s="494" t="s">
        <v>455</v>
      </c>
      <c r="B83" s="451" t="s">
        <v>352</v>
      </c>
      <c r="C83" s="436" t="s">
        <v>254</v>
      </c>
      <c r="D83" s="218">
        <v>2014</v>
      </c>
      <c r="E83" s="107">
        <f>F83+G83+H83</f>
        <v>7000</v>
      </c>
      <c r="F83" s="171"/>
      <c r="G83" s="171">
        <f>21000-14000</f>
        <v>7000</v>
      </c>
      <c r="H83" s="171"/>
      <c r="I83" s="216"/>
      <c r="J83" s="436" t="s">
        <v>65</v>
      </c>
      <c r="K83" s="97" t="s">
        <v>80</v>
      </c>
      <c r="L83" s="52"/>
    </row>
    <row r="84" spans="1:12" ht="38.25" customHeight="1">
      <c r="A84" s="509"/>
      <c r="B84" s="439"/>
      <c r="C84" s="437"/>
      <c r="D84" s="218">
        <v>2015</v>
      </c>
      <c r="E84" s="107">
        <f>F84+G84+H84</f>
        <v>50763</v>
      </c>
      <c r="F84" s="171"/>
      <c r="G84" s="171">
        <f>40000-2227+12990</f>
        <v>50763</v>
      </c>
      <c r="H84" s="171"/>
      <c r="I84" s="216"/>
      <c r="J84" s="437"/>
      <c r="K84" s="102"/>
      <c r="L84" s="52"/>
    </row>
    <row r="85" spans="1:12" ht="37.5" customHeight="1">
      <c r="A85" s="449" t="s">
        <v>456</v>
      </c>
      <c r="B85" s="438" t="s">
        <v>355</v>
      </c>
      <c r="C85" s="436" t="s">
        <v>253</v>
      </c>
      <c r="D85" s="218">
        <v>2014</v>
      </c>
      <c r="E85" s="107">
        <f>F85+G85+H85</f>
        <v>119250</v>
      </c>
      <c r="F85" s="171"/>
      <c r="G85" s="171">
        <v>71550</v>
      </c>
      <c r="H85" s="171">
        <v>47700</v>
      </c>
      <c r="I85" s="107"/>
      <c r="J85" s="531"/>
      <c r="K85" s="467" t="s">
        <v>80</v>
      </c>
      <c r="L85" s="52"/>
    </row>
    <row r="86" spans="1:12" ht="21.75" customHeight="1">
      <c r="A86" s="452"/>
      <c r="B86" s="439"/>
      <c r="C86" s="437"/>
      <c r="D86" s="219">
        <v>2015</v>
      </c>
      <c r="E86" s="98">
        <f>G86+H86</f>
        <v>25519.5</v>
      </c>
      <c r="F86" s="175"/>
      <c r="G86" s="175">
        <v>15519.5</v>
      </c>
      <c r="H86" s="175">
        <v>10000</v>
      </c>
      <c r="I86" s="98"/>
      <c r="J86" s="532"/>
      <c r="K86" s="468"/>
      <c r="L86" s="52"/>
    </row>
    <row r="87" spans="1:12" ht="22.5" customHeight="1">
      <c r="A87" s="449" t="s">
        <v>457</v>
      </c>
      <c r="B87" s="438" t="s">
        <v>352</v>
      </c>
      <c r="C87" s="436" t="s">
        <v>420</v>
      </c>
      <c r="D87" s="219">
        <v>2014</v>
      </c>
      <c r="E87" s="98">
        <f>G87</f>
        <v>500</v>
      </c>
      <c r="F87" s="175"/>
      <c r="G87" s="175">
        <v>500</v>
      </c>
      <c r="H87" s="175"/>
      <c r="I87" s="98"/>
      <c r="J87" s="531"/>
      <c r="K87" s="467" t="s">
        <v>80</v>
      </c>
      <c r="L87" s="52"/>
    </row>
    <row r="88" spans="1:12" ht="32.25" customHeight="1">
      <c r="A88" s="450"/>
      <c r="B88" s="451"/>
      <c r="C88" s="446"/>
      <c r="D88" s="531">
        <v>2015</v>
      </c>
      <c r="E88" s="456">
        <f>F89+G88+H89</f>
        <v>2000</v>
      </c>
      <c r="F88" s="442"/>
      <c r="G88" s="442">
        <f>21500-19500</f>
        <v>2000</v>
      </c>
      <c r="H88" s="442"/>
      <c r="I88" s="456"/>
      <c r="J88" s="561"/>
      <c r="K88" s="470"/>
      <c r="L88" s="52"/>
    </row>
    <row r="89" spans="1:12" ht="25.5" customHeight="1" hidden="1">
      <c r="A89" s="450"/>
      <c r="B89" s="451"/>
      <c r="C89" s="446"/>
      <c r="D89" s="532"/>
      <c r="E89" s="458"/>
      <c r="F89" s="443"/>
      <c r="G89" s="443"/>
      <c r="H89" s="443"/>
      <c r="I89" s="458"/>
      <c r="J89" s="561"/>
      <c r="K89" s="470"/>
      <c r="L89" s="52"/>
    </row>
    <row r="90" spans="1:12" ht="25.5" customHeight="1" hidden="1">
      <c r="A90" s="452"/>
      <c r="B90" s="439"/>
      <c r="C90" s="437"/>
      <c r="D90" s="179">
        <v>2016</v>
      </c>
      <c r="E90" s="107">
        <f>G90</f>
        <v>21500</v>
      </c>
      <c r="F90" s="171"/>
      <c r="G90" s="171">
        <v>21500</v>
      </c>
      <c r="H90" s="171"/>
      <c r="I90" s="107"/>
      <c r="J90" s="532"/>
      <c r="K90" s="468"/>
      <c r="L90" s="52"/>
    </row>
    <row r="91" spans="1:12" ht="26.25" customHeight="1" hidden="1">
      <c r="A91" s="494" t="s">
        <v>390</v>
      </c>
      <c r="B91" s="438" t="s">
        <v>352</v>
      </c>
      <c r="C91" s="436" t="s">
        <v>254</v>
      </c>
      <c r="D91" s="179">
        <v>2016</v>
      </c>
      <c r="E91" s="107">
        <f>F91+G91+H91</f>
        <v>2000</v>
      </c>
      <c r="F91" s="171"/>
      <c r="G91" s="171">
        <v>2000</v>
      </c>
      <c r="H91" s="171"/>
      <c r="I91" s="107"/>
      <c r="J91" s="562" t="s">
        <v>137</v>
      </c>
      <c r="K91" s="177" t="s">
        <v>80</v>
      </c>
      <c r="L91" s="52"/>
    </row>
    <row r="92" spans="1:12" ht="38.25" customHeight="1" hidden="1">
      <c r="A92" s="533"/>
      <c r="B92" s="439"/>
      <c r="C92" s="437"/>
      <c r="D92" s="179">
        <v>2017</v>
      </c>
      <c r="E92" s="107">
        <f>F92+G92+H92</f>
        <v>5000</v>
      </c>
      <c r="F92" s="171"/>
      <c r="G92" s="171">
        <v>5000</v>
      </c>
      <c r="H92" s="171"/>
      <c r="I92" s="107"/>
      <c r="J92" s="538"/>
      <c r="K92" s="102"/>
      <c r="L92" s="52"/>
    </row>
    <row r="93" spans="1:12" ht="27" customHeight="1">
      <c r="A93" s="449" t="s">
        <v>458</v>
      </c>
      <c r="B93" s="438" t="s">
        <v>352</v>
      </c>
      <c r="C93" s="436" t="s">
        <v>254</v>
      </c>
      <c r="D93" s="220">
        <v>2014</v>
      </c>
      <c r="E93" s="98">
        <f>G93</f>
        <v>500</v>
      </c>
      <c r="F93" s="175"/>
      <c r="G93" s="175">
        <v>500</v>
      </c>
      <c r="H93" s="175"/>
      <c r="I93" s="98"/>
      <c r="J93" s="531"/>
      <c r="K93" s="436" t="s">
        <v>80</v>
      </c>
      <c r="L93" s="52"/>
    </row>
    <row r="94" spans="1:12" ht="12.75" customHeight="1">
      <c r="A94" s="450"/>
      <c r="B94" s="451"/>
      <c r="C94" s="446"/>
      <c r="D94" s="531">
        <v>2015</v>
      </c>
      <c r="E94" s="456">
        <f>F95+G94+H95</f>
        <v>2000</v>
      </c>
      <c r="F94" s="442"/>
      <c r="G94" s="442">
        <v>2000</v>
      </c>
      <c r="H94" s="442"/>
      <c r="I94" s="456"/>
      <c r="J94" s="561"/>
      <c r="K94" s="446"/>
      <c r="L94" s="52"/>
    </row>
    <row r="95" spans="1:12" ht="14.25" customHeight="1">
      <c r="A95" s="450"/>
      <c r="B95" s="451"/>
      <c r="C95" s="446"/>
      <c r="D95" s="532"/>
      <c r="E95" s="458"/>
      <c r="F95" s="443"/>
      <c r="G95" s="443"/>
      <c r="H95" s="443"/>
      <c r="I95" s="458"/>
      <c r="J95" s="561"/>
      <c r="K95" s="446"/>
      <c r="L95" s="52"/>
    </row>
    <row r="96" spans="1:12" ht="26.25" customHeight="1" hidden="1">
      <c r="A96" s="452"/>
      <c r="B96" s="439"/>
      <c r="C96" s="437"/>
      <c r="D96" s="170">
        <v>2016</v>
      </c>
      <c r="E96" s="107">
        <f>G96</f>
        <v>21500</v>
      </c>
      <c r="F96" s="171"/>
      <c r="G96" s="171">
        <v>21500</v>
      </c>
      <c r="H96" s="171"/>
      <c r="I96" s="107"/>
      <c r="J96" s="532"/>
      <c r="K96" s="437"/>
      <c r="L96" s="52"/>
    </row>
    <row r="97" spans="1:12" ht="17.25" customHeight="1" hidden="1">
      <c r="A97" s="449" t="s">
        <v>193</v>
      </c>
      <c r="B97" s="438" t="s">
        <v>352</v>
      </c>
      <c r="C97" s="436" t="s">
        <v>254</v>
      </c>
      <c r="D97" s="179">
        <v>2015</v>
      </c>
      <c r="E97" s="107">
        <f>F97+G97+H97</f>
        <v>0</v>
      </c>
      <c r="F97" s="171"/>
      <c r="G97" s="171">
        <v>0</v>
      </c>
      <c r="H97" s="171"/>
      <c r="I97" s="107"/>
      <c r="J97" s="531" t="s">
        <v>66</v>
      </c>
      <c r="K97" s="93" t="s">
        <v>80</v>
      </c>
      <c r="L97" s="52"/>
    </row>
    <row r="98" spans="1:12" ht="30" customHeight="1" hidden="1">
      <c r="A98" s="450"/>
      <c r="B98" s="451"/>
      <c r="C98" s="446"/>
      <c r="D98" s="179">
        <v>2016</v>
      </c>
      <c r="E98" s="107">
        <f>F98+G98+H98</f>
        <v>5000</v>
      </c>
      <c r="F98" s="171"/>
      <c r="G98" s="171">
        <v>5000</v>
      </c>
      <c r="H98" s="171"/>
      <c r="I98" s="107"/>
      <c r="J98" s="561"/>
      <c r="K98" s="434"/>
      <c r="L98" s="52"/>
    </row>
    <row r="99" spans="1:12" ht="21.75" customHeight="1" hidden="1">
      <c r="A99" s="452"/>
      <c r="B99" s="439"/>
      <c r="C99" s="437"/>
      <c r="D99" s="221">
        <v>2017</v>
      </c>
      <c r="E99" s="103">
        <f>G99</f>
        <v>20000</v>
      </c>
      <c r="F99" s="184"/>
      <c r="G99" s="184">
        <v>20000</v>
      </c>
      <c r="H99" s="184"/>
      <c r="I99" s="103"/>
      <c r="J99" s="532"/>
      <c r="K99" s="435"/>
      <c r="L99" s="52"/>
    </row>
    <row r="100" spans="1:12" ht="21.75" customHeight="1">
      <c r="A100" s="449" t="s">
        <v>459</v>
      </c>
      <c r="B100" s="438" t="s">
        <v>352</v>
      </c>
      <c r="C100" s="436" t="s">
        <v>254</v>
      </c>
      <c r="D100" s="209">
        <v>2014</v>
      </c>
      <c r="E100" s="196">
        <f>G100</f>
        <v>500</v>
      </c>
      <c r="F100" s="197"/>
      <c r="G100" s="197">
        <v>500</v>
      </c>
      <c r="H100" s="197"/>
      <c r="I100" s="196"/>
      <c r="J100" s="531"/>
      <c r="K100" s="433" t="s">
        <v>80</v>
      </c>
      <c r="L100" s="52"/>
    </row>
    <row r="101" spans="1:12" ht="30.75" customHeight="1">
      <c r="A101" s="450"/>
      <c r="B101" s="451"/>
      <c r="C101" s="446"/>
      <c r="D101" s="531">
        <v>2015</v>
      </c>
      <c r="E101" s="456">
        <f>F102+G101+H102</f>
        <v>2100</v>
      </c>
      <c r="F101" s="442"/>
      <c r="G101" s="442">
        <f>2000+100</f>
        <v>2100</v>
      </c>
      <c r="H101" s="442"/>
      <c r="I101" s="456"/>
      <c r="J101" s="561"/>
      <c r="K101" s="434"/>
      <c r="L101" s="52"/>
    </row>
    <row r="102" spans="1:12" ht="2.25" customHeight="1">
      <c r="A102" s="450"/>
      <c r="B102" s="451"/>
      <c r="C102" s="446"/>
      <c r="D102" s="532"/>
      <c r="E102" s="458"/>
      <c r="F102" s="443"/>
      <c r="G102" s="443"/>
      <c r="H102" s="443"/>
      <c r="I102" s="458"/>
      <c r="J102" s="561"/>
      <c r="K102" s="434"/>
      <c r="L102" s="52"/>
    </row>
    <row r="103" spans="1:12" ht="24" customHeight="1" hidden="1">
      <c r="A103" s="452"/>
      <c r="B103" s="439"/>
      <c r="C103" s="437"/>
      <c r="D103" s="179">
        <v>2016</v>
      </c>
      <c r="E103" s="107">
        <f>G103</f>
        <v>21500</v>
      </c>
      <c r="F103" s="171"/>
      <c r="G103" s="171">
        <v>21500</v>
      </c>
      <c r="H103" s="171"/>
      <c r="I103" s="107"/>
      <c r="J103" s="532"/>
      <c r="K103" s="435"/>
      <c r="L103" s="52"/>
    </row>
    <row r="104" spans="1:12" ht="53.25" customHeight="1">
      <c r="A104" s="534" t="s">
        <v>460</v>
      </c>
      <c r="B104" s="516" t="s">
        <v>352</v>
      </c>
      <c r="C104" s="525" t="s">
        <v>254</v>
      </c>
      <c r="D104" s="179">
        <v>2015</v>
      </c>
      <c r="E104" s="107">
        <f>G104</f>
        <v>2500</v>
      </c>
      <c r="F104" s="171"/>
      <c r="G104" s="171">
        <v>2500</v>
      </c>
      <c r="H104" s="171"/>
      <c r="I104" s="107"/>
      <c r="J104" s="589"/>
      <c r="K104" s="214" t="s">
        <v>80</v>
      </c>
      <c r="L104" s="52"/>
    </row>
    <row r="105" spans="1:12" ht="34.5" customHeight="1" hidden="1">
      <c r="A105" s="534"/>
      <c r="B105" s="516"/>
      <c r="C105" s="525"/>
      <c r="D105" s="179">
        <v>2016</v>
      </c>
      <c r="E105" s="107">
        <f aca="true" t="shared" si="2" ref="E105:E116">F105+G105+H105</f>
        <v>21500</v>
      </c>
      <c r="F105" s="171"/>
      <c r="G105" s="171">
        <v>21500</v>
      </c>
      <c r="H105" s="171"/>
      <c r="I105" s="107"/>
      <c r="J105" s="590"/>
      <c r="K105" s="199"/>
      <c r="L105" s="52"/>
    </row>
    <row r="106" spans="1:12" ht="54" customHeight="1">
      <c r="A106" s="573" t="s">
        <v>461</v>
      </c>
      <c r="B106" s="438" t="s">
        <v>352</v>
      </c>
      <c r="C106" s="535" t="s">
        <v>254</v>
      </c>
      <c r="D106" s="170">
        <v>2015</v>
      </c>
      <c r="E106" s="107">
        <f t="shared" si="2"/>
        <v>0</v>
      </c>
      <c r="F106" s="171"/>
      <c r="G106" s="171">
        <v>0</v>
      </c>
      <c r="H106" s="171"/>
      <c r="I106" s="216"/>
      <c r="J106" s="562"/>
      <c r="K106" s="93" t="s">
        <v>80</v>
      </c>
      <c r="L106" s="52"/>
    </row>
    <row r="107" spans="1:12" ht="27.75" customHeight="1" hidden="1">
      <c r="A107" s="580"/>
      <c r="B107" s="439"/>
      <c r="C107" s="563"/>
      <c r="D107" s="170">
        <v>2016</v>
      </c>
      <c r="E107" s="107">
        <f t="shared" si="2"/>
        <v>5000</v>
      </c>
      <c r="F107" s="171"/>
      <c r="G107" s="171">
        <v>5000</v>
      </c>
      <c r="H107" s="171"/>
      <c r="I107" s="216"/>
      <c r="J107" s="538"/>
      <c r="K107" s="104"/>
      <c r="L107" s="52"/>
    </row>
    <row r="108" spans="1:12" ht="20.25" customHeight="1" hidden="1">
      <c r="A108" s="180"/>
      <c r="B108" s="101"/>
      <c r="C108" s="191"/>
      <c r="D108" s="183">
        <v>2017</v>
      </c>
      <c r="E108" s="103">
        <f>F108+G108</f>
        <v>18000</v>
      </c>
      <c r="F108" s="184"/>
      <c r="G108" s="184">
        <v>18000</v>
      </c>
      <c r="H108" s="184"/>
      <c r="I108" s="222"/>
      <c r="J108" s="223"/>
      <c r="K108" s="104"/>
      <c r="L108" s="52"/>
    </row>
    <row r="109" spans="1:12" ht="17.25" customHeight="1" hidden="1">
      <c r="A109" s="450" t="s">
        <v>206</v>
      </c>
      <c r="B109" s="438" t="s">
        <v>352</v>
      </c>
      <c r="C109" s="446" t="s">
        <v>254</v>
      </c>
      <c r="D109" s="179">
        <v>2015</v>
      </c>
      <c r="E109" s="107">
        <f t="shared" si="2"/>
        <v>0</v>
      </c>
      <c r="F109" s="171"/>
      <c r="G109" s="171">
        <v>0</v>
      </c>
      <c r="H109" s="171"/>
      <c r="I109" s="107"/>
      <c r="J109" s="561" t="s">
        <v>391</v>
      </c>
      <c r="K109" s="93" t="s">
        <v>80</v>
      </c>
      <c r="L109" s="52"/>
    </row>
    <row r="110" spans="1:12" ht="25.5" customHeight="1" hidden="1">
      <c r="A110" s="450"/>
      <c r="B110" s="451"/>
      <c r="C110" s="446"/>
      <c r="D110" s="179">
        <v>2016</v>
      </c>
      <c r="E110" s="107">
        <f t="shared" si="2"/>
        <v>5000</v>
      </c>
      <c r="F110" s="171"/>
      <c r="G110" s="171">
        <v>5000</v>
      </c>
      <c r="H110" s="171"/>
      <c r="I110" s="107"/>
      <c r="J110" s="487"/>
      <c r="K110" s="104"/>
      <c r="L110" s="52"/>
    </row>
    <row r="111" spans="1:12" ht="20.25" customHeight="1" hidden="1">
      <c r="A111" s="224"/>
      <c r="B111" s="439"/>
      <c r="C111" s="188"/>
      <c r="D111" s="170">
        <v>2017</v>
      </c>
      <c r="E111" s="107">
        <f t="shared" si="2"/>
        <v>18000</v>
      </c>
      <c r="F111" s="171"/>
      <c r="G111" s="171">
        <v>18000</v>
      </c>
      <c r="H111" s="171"/>
      <c r="I111" s="216"/>
      <c r="J111" s="225"/>
      <c r="K111" s="99"/>
      <c r="L111" s="52"/>
    </row>
    <row r="112" spans="1:11" ht="27.75" customHeight="1" hidden="1">
      <c r="A112" s="556" t="s">
        <v>197</v>
      </c>
      <c r="B112" s="438" t="s">
        <v>352</v>
      </c>
      <c r="C112" s="535" t="s">
        <v>254</v>
      </c>
      <c r="D112" s="170">
        <v>2015</v>
      </c>
      <c r="E112" s="107">
        <f t="shared" si="2"/>
        <v>0</v>
      </c>
      <c r="F112" s="171"/>
      <c r="G112" s="171">
        <v>0</v>
      </c>
      <c r="H112" s="171"/>
      <c r="I112" s="216"/>
      <c r="J112" s="562" t="s">
        <v>64</v>
      </c>
      <c r="K112" s="93" t="s">
        <v>80</v>
      </c>
    </row>
    <row r="113" spans="1:11" ht="24" customHeight="1" hidden="1">
      <c r="A113" s="579"/>
      <c r="B113" s="451"/>
      <c r="C113" s="536"/>
      <c r="D113" s="170">
        <v>2016</v>
      </c>
      <c r="E113" s="107">
        <f t="shared" si="2"/>
        <v>5000</v>
      </c>
      <c r="F113" s="171"/>
      <c r="G113" s="171">
        <v>5000</v>
      </c>
      <c r="H113" s="171"/>
      <c r="I113" s="216"/>
      <c r="J113" s="588"/>
      <c r="K113" s="99"/>
    </row>
    <row r="114" spans="1:11" ht="24" customHeight="1" hidden="1">
      <c r="A114" s="226"/>
      <c r="B114" s="439"/>
      <c r="C114" s="191"/>
      <c r="D114" s="170">
        <v>2017</v>
      </c>
      <c r="E114" s="107">
        <f t="shared" si="2"/>
        <v>18000</v>
      </c>
      <c r="F114" s="171"/>
      <c r="G114" s="171">
        <v>18000</v>
      </c>
      <c r="H114" s="171"/>
      <c r="I114" s="216"/>
      <c r="J114" s="223"/>
      <c r="K114" s="104"/>
    </row>
    <row r="115" spans="1:11" ht="63" customHeight="1">
      <c r="A115" s="449" t="s">
        <v>462</v>
      </c>
      <c r="B115" s="438" t="s">
        <v>352</v>
      </c>
      <c r="C115" s="436" t="s">
        <v>254</v>
      </c>
      <c r="D115" s="179">
        <v>2015</v>
      </c>
      <c r="E115" s="107">
        <f t="shared" si="2"/>
        <v>5500</v>
      </c>
      <c r="F115" s="171">
        <v>0</v>
      </c>
      <c r="G115" s="171">
        <f>15000-9500</f>
        <v>5500</v>
      </c>
      <c r="H115" s="171"/>
      <c r="I115" s="107"/>
      <c r="J115" s="436"/>
      <c r="K115" s="433" t="s">
        <v>80</v>
      </c>
    </row>
    <row r="116" spans="1:11" ht="15.75" customHeight="1" hidden="1">
      <c r="A116" s="450"/>
      <c r="B116" s="451"/>
      <c r="C116" s="446"/>
      <c r="D116" s="179">
        <v>2016</v>
      </c>
      <c r="E116" s="107">
        <f t="shared" si="2"/>
        <v>0</v>
      </c>
      <c r="F116" s="175"/>
      <c r="G116" s="175">
        <v>0</v>
      </c>
      <c r="H116" s="175"/>
      <c r="I116" s="216"/>
      <c r="J116" s="446"/>
      <c r="K116" s="434"/>
    </row>
    <row r="117" spans="1:11" ht="24" customHeight="1" hidden="1">
      <c r="A117" s="452"/>
      <c r="B117" s="439"/>
      <c r="C117" s="437"/>
      <c r="D117" s="179">
        <v>2017</v>
      </c>
      <c r="E117" s="107">
        <f>G117</f>
        <v>10000</v>
      </c>
      <c r="F117" s="171"/>
      <c r="G117" s="171">
        <v>10000</v>
      </c>
      <c r="H117" s="171"/>
      <c r="I117" s="216"/>
      <c r="J117" s="437"/>
      <c r="K117" s="435"/>
    </row>
    <row r="118" spans="1:11" ht="27" customHeight="1" hidden="1">
      <c r="A118" s="494" t="s">
        <v>230</v>
      </c>
      <c r="B118" s="438" t="s">
        <v>352</v>
      </c>
      <c r="C118" s="436" t="s">
        <v>254</v>
      </c>
      <c r="D118" s="179">
        <v>2016</v>
      </c>
      <c r="E118" s="107">
        <f aca="true" t="shared" si="3" ref="E118:E124">F118+G118+H118</f>
        <v>5000</v>
      </c>
      <c r="F118" s="175">
        <f>11000-11000</f>
        <v>0</v>
      </c>
      <c r="G118" s="175">
        <v>5000</v>
      </c>
      <c r="H118" s="175"/>
      <c r="I118" s="216"/>
      <c r="J118" s="436" t="s">
        <v>136</v>
      </c>
      <c r="K118" s="93" t="s">
        <v>80</v>
      </c>
    </row>
    <row r="119" spans="1:11" ht="52.5" customHeight="1" hidden="1">
      <c r="A119" s="509"/>
      <c r="B119" s="439"/>
      <c r="C119" s="437"/>
      <c r="D119" s="179">
        <v>2017</v>
      </c>
      <c r="E119" s="107">
        <f>F119+G119+H119</f>
        <v>10000</v>
      </c>
      <c r="F119" s="171"/>
      <c r="G119" s="171">
        <v>10000</v>
      </c>
      <c r="H119" s="171"/>
      <c r="I119" s="216"/>
      <c r="J119" s="437"/>
      <c r="K119" s="104"/>
    </row>
    <row r="120" spans="1:11" ht="17.25" customHeight="1" hidden="1">
      <c r="A120" s="227" t="s">
        <v>207</v>
      </c>
      <c r="B120" s="91" t="s">
        <v>352</v>
      </c>
      <c r="C120" s="87" t="s">
        <v>254</v>
      </c>
      <c r="D120" s="179">
        <v>2015</v>
      </c>
      <c r="E120" s="107">
        <f t="shared" si="3"/>
        <v>0</v>
      </c>
      <c r="F120" s="171"/>
      <c r="G120" s="171">
        <v>0</v>
      </c>
      <c r="H120" s="171"/>
      <c r="I120" s="107"/>
      <c r="J120" s="228" t="s">
        <v>66</v>
      </c>
      <c r="K120" s="93" t="s">
        <v>80</v>
      </c>
    </row>
    <row r="121" spans="1:11" ht="27" customHeight="1" hidden="1">
      <c r="A121" s="494" t="s">
        <v>142</v>
      </c>
      <c r="B121" s="438" t="s">
        <v>352</v>
      </c>
      <c r="C121" s="436" t="s">
        <v>254</v>
      </c>
      <c r="D121" s="179">
        <v>2016</v>
      </c>
      <c r="E121" s="107">
        <f t="shared" si="3"/>
        <v>1000</v>
      </c>
      <c r="F121" s="175"/>
      <c r="G121" s="175">
        <v>1000</v>
      </c>
      <c r="H121" s="175"/>
      <c r="I121" s="216"/>
      <c r="J121" s="562" t="s">
        <v>137</v>
      </c>
      <c r="K121" s="93" t="s">
        <v>80</v>
      </c>
    </row>
    <row r="122" spans="1:11" ht="42" customHeight="1" hidden="1">
      <c r="A122" s="509"/>
      <c r="B122" s="439"/>
      <c r="C122" s="437"/>
      <c r="D122" s="179">
        <v>2017</v>
      </c>
      <c r="E122" s="107">
        <f t="shared" si="3"/>
        <v>5000</v>
      </c>
      <c r="F122" s="175"/>
      <c r="G122" s="175">
        <v>5000</v>
      </c>
      <c r="H122" s="175"/>
      <c r="I122" s="216"/>
      <c r="J122" s="538"/>
      <c r="K122" s="104"/>
    </row>
    <row r="123" spans="1:11" ht="30.75" customHeight="1" hidden="1">
      <c r="A123" s="494" t="s">
        <v>143</v>
      </c>
      <c r="B123" s="438" t="s">
        <v>352</v>
      </c>
      <c r="C123" s="436" t="s">
        <v>254</v>
      </c>
      <c r="D123" s="179">
        <v>2016</v>
      </c>
      <c r="E123" s="107">
        <f t="shared" si="3"/>
        <v>1000</v>
      </c>
      <c r="F123" s="175"/>
      <c r="G123" s="175">
        <v>1000</v>
      </c>
      <c r="H123" s="175"/>
      <c r="I123" s="216"/>
      <c r="J123" s="562" t="s">
        <v>138</v>
      </c>
      <c r="K123" s="93" t="s">
        <v>80</v>
      </c>
    </row>
    <row r="124" spans="1:11" ht="36" customHeight="1" hidden="1">
      <c r="A124" s="509"/>
      <c r="B124" s="439"/>
      <c r="C124" s="437"/>
      <c r="D124" s="179">
        <v>2017</v>
      </c>
      <c r="E124" s="107">
        <f t="shared" si="3"/>
        <v>5000</v>
      </c>
      <c r="F124" s="171"/>
      <c r="G124" s="171">
        <v>5000</v>
      </c>
      <c r="H124" s="171"/>
      <c r="I124" s="107"/>
      <c r="J124" s="538"/>
      <c r="K124" s="104"/>
    </row>
    <row r="125" spans="1:11" ht="28.5" customHeight="1" hidden="1">
      <c r="A125" s="449" t="s">
        <v>54</v>
      </c>
      <c r="B125" s="438" t="s">
        <v>352</v>
      </c>
      <c r="C125" s="436" t="s">
        <v>254</v>
      </c>
      <c r="D125" s="179">
        <v>2015</v>
      </c>
      <c r="E125" s="107">
        <f>G125</f>
        <v>0</v>
      </c>
      <c r="F125" s="175"/>
      <c r="G125" s="175">
        <f>3000+2500-1000-1500-3000</f>
        <v>0</v>
      </c>
      <c r="H125" s="175"/>
      <c r="I125" s="107"/>
      <c r="J125" s="531"/>
      <c r="K125" s="93" t="s">
        <v>80</v>
      </c>
    </row>
    <row r="126" spans="1:11" ht="32.25" customHeight="1" hidden="1">
      <c r="A126" s="450"/>
      <c r="B126" s="451"/>
      <c r="C126" s="446"/>
      <c r="D126" s="179">
        <v>2016</v>
      </c>
      <c r="E126" s="107">
        <f>F126+G126+H126</f>
        <v>0</v>
      </c>
      <c r="F126" s="171">
        <f>11000-11000</f>
        <v>0</v>
      </c>
      <c r="G126" s="171">
        <f>50000-12000-23000-15000</f>
        <v>0</v>
      </c>
      <c r="H126" s="171"/>
      <c r="I126" s="107"/>
      <c r="J126" s="561"/>
      <c r="K126" s="434"/>
    </row>
    <row r="127" spans="1:11" ht="31.5" customHeight="1" hidden="1">
      <c r="A127" s="452"/>
      <c r="B127" s="439"/>
      <c r="C127" s="437"/>
      <c r="D127" s="179">
        <v>2017</v>
      </c>
      <c r="E127" s="107">
        <f>G127</f>
        <v>0</v>
      </c>
      <c r="F127" s="175"/>
      <c r="G127" s="175">
        <f>62000-24000-38000</f>
        <v>0</v>
      </c>
      <c r="H127" s="175"/>
      <c r="I127" s="107"/>
      <c r="J127" s="532"/>
      <c r="K127" s="435"/>
    </row>
    <row r="128" spans="1:11" ht="50.25" customHeight="1" hidden="1">
      <c r="A128" s="494" t="s">
        <v>144</v>
      </c>
      <c r="B128" s="438" t="s">
        <v>352</v>
      </c>
      <c r="C128" s="436" t="s">
        <v>254</v>
      </c>
      <c r="D128" s="179">
        <v>2016</v>
      </c>
      <c r="E128" s="107">
        <f>G128</f>
        <v>5500</v>
      </c>
      <c r="F128" s="175"/>
      <c r="G128" s="175">
        <v>5500</v>
      </c>
      <c r="H128" s="175"/>
      <c r="I128" s="107"/>
      <c r="J128" s="436" t="s">
        <v>136</v>
      </c>
      <c r="K128" s="93" t="s">
        <v>80</v>
      </c>
    </row>
    <row r="129" spans="1:11" ht="30" customHeight="1" hidden="1">
      <c r="A129" s="509"/>
      <c r="B129" s="439"/>
      <c r="C129" s="437"/>
      <c r="D129" s="179">
        <v>2017</v>
      </c>
      <c r="E129" s="107">
        <f>G129</f>
        <v>10000</v>
      </c>
      <c r="F129" s="171"/>
      <c r="G129" s="171">
        <v>10000</v>
      </c>
      <c r="H129" s="171"/>
      <c r="I129" s="107"/>
      <c r="J129" s="437"/>
      <c r="K129" s="104"/>
    </row>
    <row r="130" spans="1:11" ht="35.25" customHeight="1" hidden="1">
      <c r="A130" s="494" t="s">
        <v>145</v>
      </c>
      <c r="B130" s="438" t="s">
        <v>352</v>
      </c>
      <c r="C130" s="436" t="s">
        <v>254</v>
      </c>
      <c r="D130" s="179">
        <v>2016</v>
      </c>
      <c r="E130" s="107">
        <f>F130+G130+H130</f>
        <v>0</v>
      </c>
      <c r="F130" s="175"/>
      <c r="G130" s="175">
        <v>0</v>
      </c>
      <c r="H130" s="175"/>
      <c r="I130" s="107"/>
      <c r="J130" s="436" t="s">
        <v>139</v>
      </c>
      <c r="K130" s="87" t="s">
        <v>80</v>
      </c>
    </row>
    <row r="131" spans="1:11" ht="42.75" customHeight="1" hidden="1">
      <c r="A131" s="509"/>
      <c r="B131" s="439"/>
      <c r="C131" s="437"/>
      <c r="D131" s="179">
        <v>2017</v>
      </c>
      <c r="E131" s="107">
        <f>F131+G131+H131</f>
        <v>5500</v>
      </c>
      <c r="F131" s="171"/>
      <c r="G131" s="171">
        <v>5500</v>
      </c>
      <c r="H131" s="171"/>
      <c r="I131" s="107"/>
      <c r="J131" s="437"/>
      <c r="K131" s="104"/>
    </row>
    <row r="132" spans="1:11" ht="18.75" customHeight="1" hidden="1">
      <c r="A132" s="449" t="s">
        <v>146</v>
      </c>
      <c r="B132" s="438" t="s">
        <v>352</v>
      </c>
      <c r="C132" s="436" t="s">
        <v>254</v>
      </c>
      <c r="D132" s="179">
        <v>2015</v>
      </c>
      <c r="E132" s="107">
        <f>G132</f>
        <v>0</v>
      </c>
      <c r="F132" s="171"/>
      <c r="G132" s="171">
        <f>3000+2500-5500</f>
        <v>0</v>
      </c>
      <c r="H132" s="171"/>
      <c r="I132" s="107"/>
      <c r="J132" s="436" t="s">
        <v>67</v>
      </c>
      <c r="K132" s="93" t="s">
        <v>80</v>
      </c>
    </row>
    <row r="133" spans="1:11" ht="18.75" customHeight="1" hidden="1">
      <c r="A133" s="450"/>
      <c r="B133" s="451"/>
      <c r="C133" s="446"/>
      <c r="D133" s="179">
        <v>2016</v>
      </c>
      <c r="E133" s="107">
        <f>F133+G133+H133</f>
        <v>8500</v>
      </c>
      <c r="F133" s="171">
        <v>0</v>
      </c>
      <c r="G133" s="171">
        <v>8500</v>
      </c>
      <c r="H133" s="171"/>
      <c r="I133" s="103"/>
      <c r="J133" s="446"/>
      <c r="K133" s="446"/>
    </row>
    <row r="134" spans="1:11" ht="18.75" customHeight="1" hidden="1">
      <c r="A134" s="452"/>
      <c r="B134" s="439"/>
      <c r="C134" s="437"/>
      <c r="D134" s="220">
        <v>2017</v>
      </c>
      <c r="E134" s="98">
        <f>G134</f>
        <v>16000</v>
      </c>
      <c r="F134" s="175"/>
      <c r="G134" s="175">
        <v>16000</v>
      </c>
      <c r="H134" s="175"/>
      <c r="I134" s="196"/>
      <c r="J134" s="437"/>
      <c r="K134" s="437"/>
    </row>
    <row r="135" spans="1:11" ht="15.75" customHeight="1">
      <c r="A135" s="449" t="s">
        <v>463</v>
      </c>
      <c r="B135" s="438" t="s">
        <v>269</v>
      </c>
      <c r="C135" s="436" t="s">
        <v>253</v>
      </c>
      <c r="D135" s="531">
        <v>2014</v>
      </c>
      <c r="E135" s="456">
        <f>G135</f>
        <v>4836</v>
      </c>
      <c r="F135" s="442"/>
      <c r="G135" s="442">
        <v>4836</v>
      </c>
      <c r="H135" s="442"/>
      <c r="I135" s="456"/>
      <c r="J135" s="436" t="s">
        <v>403</v>
      </c>
      <c r="K135" s="436" t="s">
        <v>80</v>
      </c>
    </row>
    <row r="136" spans="1:11" ht="9" customHeight="1">
      <c r="A136" s="450"/>
      <c r="B136" s="451"/>
      <c r="C136" s="446"/>
      <c r="D136" s="532"/>
      <c r="E136" s="458"/>
      <c r="F136" s="443"/>
      <c r="G136" s="443"/>
      <c r="H136" s="443"/>
      <c r="I136" s="458"/>
      <c r="J136" s="446"/>
      <c r="K136" s="446"/>
    </row>
    <row r="137" spans="1:11" ht="18" customHeight="1">
      <c r="A137" s="452"/>
      <c r="B137" s="439"/>
      <c r="C137" s="437"/>
      <c r="D137" s="221">
        <v>2015</v>
      </c>
      <c r="E137" s="103">
        <f>G137+H137</f>
        <v>2935.9</v>
      </c>
      <c r="F137" s="171"/>
      <c r="G137" s="171">
        <v>2755.9</v>
      </c>
      <c r="H137" s="171">
        <v>180</v>
      </c>
      <c r="I137" s="107"/>
      <c r="J137" s="437"/>
      <c r="K137" s="437"/>
    </row>
    <row r="138" spans="1:11" ht="66" customHeight="1">
      <c r="A138" s="449" t="s">
        <v>464</v>
      </c>
      <c r="B138" s="438" t="s">
        <v>352</v>
      </c>
      <c r="C138" s="436" t="s">
        <v>254</v>
      </c>
      <c r="D138" s="221">
        <v>2015</v>
      </c>
      <c r="E138" s="103">
        <f>G138</f>
        <v>5500</v>
      </c>
      <c r="F138" s="197"/>
      <c r="G138" s="197">
        <v>5500</v>
      </c>
      <c r="H138" s="197"/>
      <c r="I138" s="103"/>
      <c r="J138" s="436"/>
      <c r="K138" s="436" t="s">
        <v>80</v>
      </c>
    </row>
    <row r="139" spans="1:11" ht="27.75" customHeight="1" hidden="1">
      <c r="A139" s="450"/>
      <c r="B139" s="451"/>
      <c r="C139" s="446"/>
      <c r="D139" s="179">
        <v>2016</v>
      </c>
      <c r="E139" s="107">
        <f>F139+G139+H139</f>
        <v>0</v>
      </c>
      <c r="F139" s="175"/>
      <c r="G139" s="175">
        <v>0</v>
      </c>
      <c r="H139" s="175"/>
      <c r="I139" s="107"/>
      <c r="J139" s="446"/>
      <c r="K139" s="446"/>
    </row>
    <row r="140" spans="1:11" ht="27.75" customHeight="1" hidden="1">
      <c r="A140" s="450"/>
      <c r="B140" s="451"/>
      <c r="C140" s="446"/>
      <c r="D140" s="179">
        <v>2017</v>
      </c>
      <c r="E140" s="107">
        <f>F140+G140+H140</f>
        <v>10000</v>
      </c>
      <c r="F140" s="171"/>
      <c r="G140" s="171">
        <v>10000</v>
      </c>
      <c r="H140" s="171"/>
      <c r="I140" s="107"/>
      <c r="J140" s="446"/>
      <c r="K140" s="437"/>
    </row>
    <row r="141" spans="1:11" ht="60" customHeight="1" hidden="1">
      <c r="A141" s="449" t="s">
        <v>465</v>
      </c>
      <c r="B141" s="565" t="s">
        <v>352</v>
      </c>
      <c r="C141" s="436" t="s">
        <v>254</v>
      </c>
      <c r="D141" s="170">
        <v>2015</v>
      </c>
      <c r="E141" s="107">
        <f>G141</f>
        <v>0</v>
      </c>
      <c r="F141" s="171"/>
      <c r="G141" s="171">
        <v>0</v>
      </c>
      <c r="H141" s="171"/>
      <c r="I141" s="216"/>
      <c r="J141" s="436"/>
      <c r="K141" s="628" t="s">
        <v>80</v>
      </c>
    </row>
    <row r="142" spans="1:11" ht="26.25" customHeight="1" hidden="1">
      <c r="A142" s="452"/>
      <c r="B142" s="566"/>
      <c r="C142" s="437"/>
      <c r="D142" s="183">
        <v>2016</v>
      </c>
      <c r="E142" s="103">
        <f>G142</f>
        <v>5000</v>
      </c>
      <c r="F142" s="184"/>
      <c r="G142" s="184">
        <v>5000</v>
      </c>
      <c r="H142" s="184"/>
      <c r="I142" s="222"/>
      <c r="J142" s="437"/>
      <c r="K142" s="629"/>
    </row>
    <row r="143" spans="1:11" ht="30" customHeight="1" hidden="1">
      <c r="A143" s="450" t="s">
        <v>414</v>
      </c>
      <c r="B143" s="451" t="s">
        <v>352</v>
      </c>
      <c r="C143" s="446" t="s">
        <v>254</v>
      </c>
      <c r="D143" s="179">
        <v>2015</v>
      </c>
      <c r="E143" s="107">
        <f>G143</f>
        <v>0</v>
      </c>
      <c r="F143" s="171"/>
      <c r="G143" s="171">
        <f>1000-1000</f>
        <v>0</v>
      </c>
      <c r="H143" s="171"/>
      <c r="I143" s="107"/>
      <c r="J143" s="446" t="s">
        <v>63</v>
      </c>
      <c r="K143" s="433" t="s">
        <v>80</v>
      </c>
    </row>
    <row r="144" spans="1:11" ht="30" customHeight="1" hidden="1">
      <c r="A144" s="452"/>
      <c r="B144" s="439"/>
      <c r="C144" s="437"/>
      <c r="D144" s="221">
        <v>2016</v>
      </c>
      <c r="E144" s="103">
        <f>G144+F144</f>
        <v>26000</v>
      </c>
      <c r="F144" s="184">
        <v>11000</v>
      </c>
      <c r="G144" s="184">
        <v>15000</v>
      </c>
      <c r="H144" s="184"/>
      <c r="I144" s="103"/>
      <c r="J144" s="437"/>
      <c r="K144" s="435"/>
    </row>
    <row r="145" spans="1:11" ht="57.75" customHeight="1" hidden="1">
      <c r="A145" s="229" t="s">
        <v>198</v>
      </c>
      <c r="B145" s="194" t="s">
        <v>199</v>
      </c>
      <c r="C145" s="199" t="s">
        <v>254</v>
      </c>
      <c r="D145" s="179">
        <v>2015</v>
      </c>
      <c r="E145" s="107">
        <f>G145</f>
        <v>0</v>
      </c>
      <c r="F145" s="171"/>
      <c r="G145" s="171">
        <v>0</v>
      </c>
      <c r="H145" s="171"/>
      <c r="I145" s="107"/>
      <c r="J145" s="199"/>
      <c r="K145" s="199" t="s">
        <v>200</v>
      </c>
    </row>
    <row r="146" spans="1:13" ht="17.25" customHeight="1">
      <c r="A146" s="570" t="s">
        <v>392</v>
      </c>
      <c r="B146" s="486"/>
      <c r="C146" s="486"/>
      <c r="D146" s="201">
        <v>2014</v>
      </c>
      <c r="E146" s="107">
        <f>E61+E63+E65+E67+E72+E74+E75+E81+E83+E85+E135+E69+E77+E87+E93+E100</f>
        <v>237284.4</v>
      </c>
      <c r="F146" s="107">
        <f>F61+F63+F65+F67+F72+F74+F75+F81+F83+F85+F135+F69+F77+F87+F93+F100</f>
        <v>15100</v>
      </c>
      <c r="G146" s="107">
        <f>G61+G63+G65+G67+G72+G74+G75+G81+G83+G85+G135+G69+G77+G87+G93+G100</f>
        <v>172764.4</v>
      </c>
      <c r="H146" s="107">
        <f>H61+H63+H65+H67+H72+H74+H75+H81+H83+H85+H135+H69+H77+H87+H93+H100</f>
        <v>49420</v>
      </c>
      <c r="I146" s="107"/>
      <c r="J146" s="179" t="s">
        <v>406</v>
      </c>
      <c r="K146" s="436"/>
      <c r="L146" s="49"/>
      <c r="M146" s="49"/>
    </row>
    <row r="147" spans="1:11" ht="94.5" customHeight="1">
      <c r="A147" s="463"/>
      <c r="B147" s="487"/>
      <c r="C147" s="487"/>
      <c r="D147" s="230">
        <v>2015</v>
      </c>
      <c r="E147" s="107">
        <f>E62+E64+E66+E70+E78+E84+E88+E94+E97+E101+E104+E106+E109+E112+E115+E120+E125+E132+E137+E68+E73+E76+E82+E86+E141+E143+E138+E145</f>
        <v>189436.09999999998</v>
      </c>
      <c r="F147" s="107">
        <f>F62+F64+F66+F70+F78+F84+F88+F94+F97+F101+F104+F106+F109+F112+F115+F120+F125+F132+F137+F68+F73+F76+F82+F86+F141+F143+F138+F145</f>
        <v>6260</v>
      </c>
      <c r="G147" s="231">
        <f>G62+G64+G66+G70+G78+G84+G88+G94+G97+G101+G104+G106+G109+G112+G115+G120+G125+G132+G137+G68+G73+G76+G82+G86+G141+G143+G138+G145</f>
        <v>172466.09999999998</v>
      </c>
      <c r="H147" s="107">
        <f>H62+H64+H66+H70+H78+H84+H88+H94+H97+H101+H104+H106+H109+H112+H115+H120+H125+H132+H137+H68+H73+H76+H82+H86+H141+H143+H138+H145</f>
        <v>10710</v>
      </c>
      <c r="I147" s="179"/>
      <c r="J147" s="199" t="s">
        <v>529</v>
      </c>
      <c r="K147" s="446"/>
    </row>
    <row r="148" spans="1:11" ht="17.25" customHeight="1">
      <c r="A148" s="463"/>
      <c r="B148" s="487"/>
      <c r="C148" s="487"/>
      <c r="D148" s="201">
        <v>2016</v>
      </c>
      <c r="E148" s="107">
        <f>F148+G148</f>
        <v>136999.856</v>
      </c>
      <c r="F148" s="107">
        <f>F144+F142+F139+F133+F130+F128+F123+F121+F118+F116+F113+F110+F107+F105+F103+F98+F96+F91+F90+F80</f>
        <v>11000</v>
      </c>
      <c r="G148" s="107">
        <v>125999.856</v>
      </c>
      <c r="H148" s="107">
        <f>H144+H142+H139+H133+H130+H128+H123+H121+H118+H116+H113+H110+H107+H105+H103+H98+H96+H91+H90+H80</f>
        <v>0</v>
      </c>
      <c r="I148" s="107"/>
      <c r="J148" s="199" t="s">
        <v>141</v>
      </c>
      <c r="K148" s="446"/>
    </row>
    <row r="149" spans="1:11" ht="17.25" customHeight="1">
      <c r="A149" s="463"/>
      <c r="B149" s="487"/>
      <c r="C149" s="487"/>
      <c r="D149" s="201">
        <v>2017</v>
      </c>
      <c r="E149" s="107">
        <f>F149+G149</f>
        <v>81000</v>
      </c>
      <c r="F149" s="107">
        <f>F140+F134+F131+F129+F124+F122+F119+F117+F114+F111+F108+F99+F92+F59</f>
        <v>11000</v>
      </c>
      <c r="G149" s="107">
        <v>70000</v>
      </c>
      <c r="H149" s="107">
        <f>H140+H134+H131+H129+H124+H122+H119+H117+H114+H111+H108+H99+H92+H59</f>
        <v>0</v>
      </c>
      <c r="I149" s="107"/>
      <c r="J149" s="199" t="s">
        <v>530</v>
      </c>
      <c r="K149" s="446"/>
    </row>
    <row r="150" spans="1:11" ht="17.25" customHeight="1" thickBot="1">
      <c r="A150" s="571"/>
      <c r="B150" s="488"/>
      <c r="C150" s="488"/>
      <c r="D150" s="204">
        <v>2018</v>
      </c>
      <c r="E150" s="232">
        <f>F150+G150+H150</f>
        <v>378962.9</v>
      </c>
      <c r="F150" s="232">
        <v>20000</v>
      </c>
      <c r="G150" s="232">
        <v>358962.9</v>
      </c>
      <c r="H150" s="232">
        <v>0</v>
      </c>
      <c r="I150" s="232"/>
      <c r="J150" s="78" t="s">
        <v>444</v>
      </c>
      <c r="K150" s="490"/>
    </row>
    <row r="151" spans="1:11" ht="18" customHeight="1" thickTop="1">
      <c r="A151" s="505" t="s">
        <v>503</v>
      </c>
      <c r="B151" s="506"/>
      <c r="C151" s="506"/>
      <c r="D151" s="506"/>
      <c r="E151" s="506"/>
      <c r="F151" s="506"/>
      <c r="G151" s="506"/>
      <c r="H151" s="506"/>
      <c r="I151" s="506"/>
      <c r="J151" s="506"/>
      <c r="K151" s="507"/>
    </row>
    <row r="152" spans="1:12" ht="40.5" customHeight="1">
      <c r="A152" s="450" t="s">
        <v>208</v>
      </c>
      <c r="B152" s="451" t="s">
        <v>320</v>
      </c>
      <c r="C152" s="446" t="s">
        <v>253</v>
      </c>
      <c r="D152" s="469">
        <v>2015</v>
      </c>
      <c r="E152" s="513">
        <f>G152+H152</f>
        <v>27005.3</v>
      </c>
      <c r="F152" s="513"/>
      <c r="G152" s="513">
        <f>10000+15931.3+274</f>
        <v>26205.3</v>
      </c>
      <c r="H152" s="513">
        <v>800</v>
      </c>
      <c r="I152" s="513"/>
      <c r="J152" s="434" t="s">
        <v>91</v>
      </c>
      <c r="K152" s="446" t="s">
        <v>80</v>
      </c>
      <c r="L152" s="618"/>
    </row>
    <row r="153" spans="1:12" ht="46.5" customHeight="1">
      <c r="A153" s="452"/>
      <c r="B153" s="439"/>
      <c r="C153" s="437"/>
      <c r="D153" s="466"/>
      <c r="E153" s="478"/>
      <c r="F153" s="478"/>
      <c r="G153" s="478"/>
      <c r="H153" s="478"/>
      <c r="I153" s="478"/>
      <c r="J153" s="435"/>
      <c r="K153" s="437"/>
      <c r="L153" s="619"/>
    </row>
    <row r="154" spans="1:12" ht="61.5" customHeight="1">
      <c r="A154" s="449" t="s">
        <v>209</v>
      </c>
      <c r="B154" s="438" t="s">
        <v>348</v>
      </c>
      <c r="C154" s="436" t="s">
        <v>253</v>
      </c>
      <c r="D154" s="465">
        <v>2015</v>
      </c>
      <c r="E154" s="477">
        <f>G154+H154</f>
        <v>19918.4</v>
      </c>
      <c r="F154" s="477"/>
      <c r="G154" s="477">
        <f>19096</f>
        <v>19096</v>
      </c>
      <c r="H154" s="477">
        <f>980.2-157.8</f>
        <v>822.4000000000001</v>
      </c>
      <c r="I154" s="477"/>
      <c r="J154" s="433"/>
      <c r="K154" s="436" t="s">
        <v>80</v>
      </c>
      <c r="L154" s="618"/>
    </row>
    <row r="155" spans="1:12" ht="21.75" customHeight="1">
      <c r="A155" s="452"/>
      <c r="B155" s="439"/>
      <c r="C155" s="437"/>
      <c r="D155" s="466"/>
      <c r="E155" s="478"/>
      <c r="F155" s="478"/>
      <c r="G155" s="478"/>
      <c r="H155" s="478"/>
      <c r="I155" s="478"/>
      <c r="J155" s="435"/>
      <c r="K155" s="437"/>
      <c r="L155" s="619"/>
    </row>
    <row r="156" spans="1:12" ht="17.25" customHeight="1">
      <c r="A156" s="449" t="s">
        <v>210</v>
      </c>
      <c r="B156" s="438" t="s">
        <v>360</v>
      </c>
      <c r="C156" s="436" t="s">
        <v>253</v>
      </c>
      <c r="D156" s="233">
        <v>2014</v>
      </c>
      <c r="E156" s="234">
        <f>G156+H156</f>
        <v>1079.5</v>
      </c>
      <c r="F156" s="234"/>
      <c r="G156" s="234">
        <f>7000-2000-4214</f>
        <v>786</v>
      </c>
      <c r="H156" s="234">
        <v>293.5</v>
      </c>
      <c r="I156" s="235"/>
      <c r="J156" s="99" t="s">
        <v>259</v>
      </c>
      <c r="K156" s="87" t="s">
        <v>80</v>
      </c>
      <c r="L156" s="616"/>
    </row>
    <row r="157" spans="1:12" ht="24.75" customHeight="1">
      <c r="A157" s="499"/>
      <c r="B157" s="439"/>
      <c r="C157" s="437"/>
      <c r="D157" s="215">
        <v>2015</v>
      </c>
      <c r="E157" s="217">
        <f>G157+H157+F157</f>
        <v>27600.600000000002</v>
      </c>
      <c r="F157" s="217">
        <v>6430</v>
      </c>
      <c r="G157" s="217">
        <f>20109.2+461.4</f>
        <v>20570.600000000002</v>
      </c>
      <c r="H157" s="217">
        <v>600</v>
      </c>
      <c r="I157" s="236"/>
      <c r="J157" s="104"/>
      <c r="K157" s="89"/>
      <c r="L157" s="617"/>
    </row>
    <row r="158" spans="1:11" ht="81.75" customHeight="1">
      <c r="A158" s="229" t="s">
        <v>211</v>
      </c>
      <c r="B158" s="194" t="s">
        <v>308</v>
      </c>
      <c r="C158" s="199" t="s">
        <v>253</v>
      </c>
      <c r="D158" s="215">
        <v>2015</v>
      </c>
      <c r="E158" s="217">
        <f>F158+G158+H158</f>
        <v>13809.8</v>
      </c>
      <c r="F158" s="217"/>
      <c r="G158" s="217">
        <f>10000+3152</f>
        <v>13152</v>
      </c>
      <c r="H158" s="217">
        <f>500+157.8</f>
        <v>657.8</v>
      </c>
      <c r="I158" s="217"/>
      <c r="J158" s="104" t="s">
        <v>258</v>
      </c>
      <c r="K158" s="214" t="s">
        <v>80</v>
      </c>
    </row>
    <row r="159" spans="1:11" ht="17.25" customHeight="1">
      <c r="A159" s="449" t="s">
        <v>212</v>
      </c>
      <c r="B159" s="438" t="s">
        <v>339</v>
      </c>
      <c r="C159" s="436" t="s">
        <v>253</v>
      </c>
      <c r="D159" s="465">
        <v>2014</v>
      </c>
      <c r="E159" s="477">
        <f>F159+G159+H159</f>
        <v>4634.7</v>
      </c>
      <c r="F159" s="477">
        <v>3200</v>
      </c>
      <c r="G159" s="477">
        <f>4700-3200-565.3</f>
        <v>934.7</v>
      </c>
      <c r="H159" s="591">
        <v>500</v>
      </c>
      <c r="I159" s="237"/>
      <c r="J159" s="433" t="s">
        <v>68</v>
      </c>
      <c r="K159" s="93" t="s">
        <v>80</v>
      </c>
    </row>
    <row r="160" spans="1:11" ht="65.25" customHeight="1">
      <c r="A160" s="452"/>
      <c r="B160" s="439"/>
      <c r="C160" s="437"/>
      <c r="D160" s="469"/>
      <c r="E160" s="513"/>
      <c r="F160" s="513"/>
      <c r="G160" s="513"/>
      <c r="H160" s="592"/>
      <c r="I160" s="238"/>
      <c r="J160" s="435"/>
      <c r="K160" s="104"/>
    </row>
    <row r="161" spans="1:11" ht="15" customHeight="1">
      <c r="A161" s="449" t="s">
        <v>120</v>
      </c>
      <c r="B161" s="438" t="s">
        <v>39</v>
      </c>
      <c r="C161" s="522" t="s">
        <v>253</v>
      </c>
      <c r="D161" s="239">
        <v>2015</v>
      </c>
      <c r="E161" s="240">
        <f>G161+H161</f>
        <v>574</v>
      </c>
      <c r="F161" s="241"/>
      <c r="G161" s="240">
        <f>1000-476</f>
        <v>524</v>
      </c>
      <c r="H161" s="241">
        <v>50</v>
      </c>
      <c r="I161" s="240"/>
      <c r="J161" s="187"/>
      <c r="K161" s="93" t="s">
        <v>80</v>
      </c>
    </row>
    <row r="162" spans="1:11" ht="63.75" customHeight="1">
      <c r="A162" s="499"/>
      <c r="B162" s="439"/>
      <c r="C162" s="523"/>
      <c r="D162" s="242"/>
      <c r="E162" s="234"/>
      <c r="F162" s="243"/>
      <c r="G162" s="234"/>
      <c r="H162" s="243"/>
      <c r="I162" s="234"/>
      <c r="J162" s="192"/>
      <c r="K162" s="104"/>
    </row>
    <row r="163" spans="1:11" ht="54" customHeight="1">
      <c r="A163" s="449" t="s">
        <v>147</v>
      </c>
      <c r="B163" s="438" t="s">
        <v>533</v>
      </c>
      <c r="C163" s="87" t="s">
        <v>253</v>
      </c>
      <c r="D163" s="239">
        <v>2014</v>
      </c>
      <c r="E163" s="237">
        <f>G163+H163+F163</f>
        <v>10747.109999999999</v>
      </c>
      <c r="F163" s="240">
        <f>7670+2228.3</f>
        <v>9898.3</v>
      </c>
      <c r="G163" s="241">
        <f>10000-7670+565.3-2583.89</f>
        <v>311.4100000000003</v>
      </c>
      <c r="H163" s="240">
        <v>537.4</v>
      </c>
      <c r="I163" s="241"/>
      <c r="J163" s="93" t="s">
        <v>258</v>
      </c>
      <c r="K163" s="93" t="s">
        <v>80</v>
      </c>
    </row>
    <row r="164" spans="1:11" ht="24.75" customHeight="1">
      <c r="A164" s="499"/>
      <c r="B164" s="439"/>
      <c r="C164" s="88"/>
      <c r="D164" s="242"/>
      <c r="E164" s="235"/>
      <c r="F164" s="234"/>
      <c r="G164" s="243"/>
      <c r="H164" s="234"/>
      <c r="I164" s="243"/>
      <c r="J164" s="104"/>
      <c r="K164" s="104"/>
    </row>
    <row r="165" spans="1:11" ht="69" customHeight="1">
      <c r="A165" s="94" t="s">
        <v>148</v>
      </c>
      <c r="B165" s="95" t="s">
        <v>11</v>
      </c>
      <c r="C165" s="89" t="s">
        <v>253</v>
      </c>
      <c r="D165" s="244">
        <v>2015</v>
      </c>
      <c r="E165" s="238">
        <f>G165+H165</f>
        <v>1050</v>
      </c>
      <c r="F165" s="245"/>
      <c r="G165" s="246">
        <v>1000</v>
      </c>
      <c r="H165" s="245">
        <v>50</v>
      </c>
      <c r="I165" s="246"/>
      <c r="J165" s="99"/>
      <c r="K165" s="214" t="s">
        <v>80</v>
      </c>
    </row>
    <row r="166" spans="1:11" ht="81.75" customHeight="1">
      <c r="A166" s="247" t="s">
        <v>149</v>
      </c>
      <c r="B166" s="91" t="s">
        <v>275</v>
      </c>
      <c r="C166" s="87" t="s">
        <v>253</v>
      </c>
      <c r="D166" s="96">
        <v>2015</v>
      </c>
      <c r="E166" s="240">
        <f>G166+H166</f>
        <v>593.6999999999999</v>
      </c>
      <c r="F166" s="240"/>
      <c r="G166" s="240">
        <f>1000-518.1</f>
        <v>481.9</v>
      </c>
      <c r="H166" s="240">
        <v>111.8</v>
      </c>
      <c r="I166" s="240"/>
      <c r="J166" s="248"/>
      <c r="K166" s="93" t="s">
        <v>79</v>
      </c>
    </row>
    <row r="167" spans="1:11" ht="45.75" customHeight="1">
      <c r="A167" s="247" t="s">
        <v>150</v>
      </c>
      <c r="B167" s="194" t="s">
        <v>359</v>
      </c>
      <c r="C167" s="87" t="s">
        <v>253</v>
      </c>
      <c r="D167" s="211">
        <v>2014</v>
      </c>
      <c r="E167" s="217">
        <f>F167+G167+H167</f>
        <v>7390.4</v>
      </c>
      <c r="F167" s="217">
        <v>3771.7</v>
      </c>
      <c r="G167" s="217">
        <f>2828.3+290.4</f>
        <v>3118.7000000000003</v>
      </c>
      <c r="H167" s="217">
        <v>500</v>
      </c>
      <c r="I167" s="217"/>
      <c r="J167" s="249" t="s">
        <v>258</v>
      </c>
      <c r="K167" s="214" t="s">
        <v>79</v>
      </c>
    </row>
    <row r="168" spans="1:12" ht="45.75" customHeight="1" hidden="1">
      <c r="A168" s="250" t="s">
        <v>12</v>
      </c>
      <c r="B168" s="91" t="s">
        <v>13</v>
      </c>
      <c r="C168" s="87" t="s">
        <v>253</v>
      </c>
      <c r="D168" s="96">
        <v>2014</v>
      </c>
      <c r="E168" s="240">
        <f>G168+H168</f>
        <v>0</v>
      </c>
      <c r="F168" s="240"/>
      <c r="G168" s="240">
        <v>0</v>
      </c>
      <c r="H168" s="240">
        <v>0</v>
      </c>
      <c r="I168" s="240"/>
      <c r="J168" s="248" t="s">
        <v>258</v>
      </c>
      <c r="K168" s="93" t="s">
        <v>79</v>
      </c>
      <c r="L168" s="54"/>
    </row>
    <row r="169" spans="1:12" ht="45.75" customHeight="1" hidden="1">
      <c r="A169" s="250" t="s">
        <v>191</v>
      </c>
      <c r="B169" s="91" t="s">
        <v>192</v>
      </c>
      <c r="C169" s="87" t="s">
        <v>253</v>
      </c>
      <c r="D169" s="96">
        <v>2015</v>
      </c>
      <c r="E169" s="240">
        <f>G169+H169</f>
        <v>0</v>
      </c>
      <c r="F169" s="240"/>
      <c r="G169" s="240">
        <v>0</v>
      </c>
      <c r="H169" s="240">
        <v>0</v>
      </c>
      <c r="I169" s="240"/>
      <c r="J169" s="248"/>
      <c r="K169" s="214" t="s">
        <v>79</v>
      </c>
      <c r="L169" s="54"/>
    </row>
    <row r="170" spans="1:12" ht="35.25" customHeight="1" thickBot="1">
      <c r="A170" s="584" t="s">
        <v>393</v>
      </c>
      <c r="B170" s="91"/>
      <c r="C170" s="251"/>
      <c r="D170" s="252">
        <v>2014</v>
      </c>
      <c r="E170" s="107">
        <f>E156+E159+E163+E167</f>
        <v>23851.71</v>
      </c>
      <c r="F170" s="107">
        <f>F156+F159+F163+F167</f>
        <v>16870</v>
      </c>
      <c r="G170" s="107">
        <f>G156+G159+G163+G167</f>
        <v>5150.81</v>
      </c>
      <c r="H170" s="107">
        <f>H156+H159+H163+H167</f>
        <v>1830.9</v>
      </c>
      <c r="I170" s="253"/>
      <c r="J170" s="254" t="s">
        <v>323</v>
      </c>
      <c r="K170" s="99"/>
      <c r="L170" s="49"/>
    </row>
    <row r="171" spans="1:11" ht="17.25" customHeight="1" thickBot="1" thickTop="1">
      <c r="A171" s="585"/>
      <c r="B171" s="255"/>
      <c r="C171" s="256"/>
      <c r="D171" s="257">
        <v>2015</v>
      </c>
      <c r="E171" s="258">
        <f>E152+E154+E157+E158+E161+E165+E166+E169</f>
        <v>90551.8</v>
      </c>
      <c r="F171" s="258">
        <f>F152+F154+F157+F158+F161+F165+F166+F169</f>
        <v>6430</v>
      </c>
      <c r="G171" s="258">
        <f>G152+G154+G157+G158+G161+G165+G166+G169</f>
        <v>81029.8</v>
      </c>
      <c r="H171" s="258">
        <f>H152+H154+H157+H158+H161+H165+H166+H169</f>
        <v>3092</v>
      </c>
      <c r="I171" s="259"/>
      <c r="J171" s="260" t="s">
        <v>522</v>
      </c>
      <c r="K171" s="80"/>
    </row>
    <row r="172" spans="1:11" ht="30" customHeight="1" thickTop="1">
      <c r="A172" s="505" t="s">
        <v>504</v>
      </c>
      <c r="B172" s="506"/>
      <c r="C172" s="506"/>
      <c r="D172" s="506"/>
      <c r="E172" s="506"/>
      <c r="F172" s="506"/>
      <c r="G172" s="506"/>
      <c r="H172" s="506"/>
      <c r="I172" s="506"/>
      <c r="J172" s="506"/>
      <c r="K172" s="507"/>
    </row>
    <row r="173" spans="1:11" ht="17.25" customHeight="1">
      <c r="A173" s="593" t="s">
        <v>221</v>
      </c>
      <c r="B173" s="594"/>
      <c r="C173" s="594"/>
      <c r="D173" s="594"/>
      <c r="E173" s="594"/>
      <c r="F173" s="594"/>
      <c r="G173" s="594"/>
      <c r="H173" s="594"/>
      <c r="I173" s="594"/>
      <c r="J173" s="594"/>
      <c r="K173" s="595"/>
    </row>
    <row r="174" spans="1:11" ht="17.25" customHeight="1">
      <c r="A174" s="494" t="s">
        <v>515</v>
      </c>
      <c r="B174" s="438" t="s">
        <v>416</v>
      </c>
      <c r="C174" s="436" t="s">
        <v>253</v>
      </c>
      <c r="D174" s="465">
        <v>2014</v>
      </c>
      <c r="E174" s="467">
        <f>G174+H174+I174</f>
        <v>12610.43</v>
      </c>
      <c r="F174" s="456"/>
      <c r="G174" s="456">
        <f>2000+1708.13+99.6+8172.2+500</f>
        <v>12479.93</v>
      </c>
      <c r="H174" s="456">
        <f>630.5-500</f>
        <v>130.5</v>
      </c>
      <c r="I174" s="456"/>
      <c r="J174" s="261" t="s">
        <v>268</v>
      </c>
      <c r="K174" s="87" t="s">
        <v>80</v>
      </c>
    </row>
    <row r="175" spans="1:11" ht="9" customHeight="1">
      <c r="A175" s="495"/>
      <c r="B175" s="451"/>
      <c r="C175" s="446"/>
      <c r="D175" s="469"/>
      <c r="E175" s="470"/>
      <c r="F175" s="457"/>
      <c r="G175" s="457"/>
      <c r="H175" s="457"/>
      <c r="I175" s="457"/>
      <c r="J175" s="262"/>
      <c r="K175" s="89"/>
    </row>
    <row r="176" spans="1:11" ht="51" customHeight="1">
      <c r="A176" s="533"/>
      <c r="B176" s="439"/>
      <c r="C176" s="437"/>
      <c r="D176" s="466"/>
      <c r="E176" s="468"/>
      <c r="F176" s="458"/>
      <c r="G176" s="458"/>
      <c r="H176" s="458"/>
      <c r="I176" s="458"/>
      <c r="J176" s="263"/>
      <c r="K176" s="88"/>
    </row>
    <row r="177" spans="1:11" ht="17.25" customHeight="1">
      <c r="A177" s="494" t="s">
        <v>222</v>
      </c>
      <c r="B177" s="438" t="s">
        <v>316</v>
      </c>
      <c r="C177" s="522" t="s">
        <v>253</v>
      </c>
      <c r="D177" s="264">
        <v>2014</v>
      </c>
      <c r="E177" s="265">
        <f>G177+H177</f>
        <v>5738.7</v>
      </c>
      <c r="F177" s="216"/>
      <c r="G177" s="107">
        <f>2000+3488.7</f>
        <v>5488.7</v>
      </c>
      <c r="H177" s="266">
        <v>250</v>
      </c>
      <c r="I177" s="107"/>
      <c r="J177" s="267" t="s">
        <v>268</v>
      </c>
      <c r="K177" s="87" t="s">
        <v>80</v>
      </c>
    </row>
    <row r="178" spans="1:11" ht="65.25" customHeight="1">
      <c r="A178" s="495"/>
      <c r="B178" s="451"/>
      <c r="C178" s="501"/>
      <c r="D178" s="264">
        <v>2015</v>
      </c>
      <c r="E178" s="265">
        <f>G178+H178</f>
        <v>1740.3000000000002</v>
      </c>
      <c r="F178" s="216"/>
      <c r="G178" s="107">
        <f>5149-3488.7</f>
        <v>1660.3000000000002</v>
      </c>
      <c r="H178" s="266">
        <v>80</v>
      </c>
      <c r="I178" s="107"/>
      <c r="J178" s="268"/>
      <c r="K178" s="88"/>
    </row>
    <row r="179" spans="1:11" ht="17.25" customHeight="1">
      <c r="A179" s="494" t="s">
        <v>227</v>
      </c>
      <c r="B179" s="438" t="s">
        <v>228</v>
      </c>
      <c r="C179" s="436" t="s">
        <v>253</v>
      </c>
      <c r="D179" s="96">
        <v>2014</v>
      </c>
      <c r="E179" s="97">
        <f>G179+H179</f>
        <v>11511.099999999999</v>
      </c>
      <c r="F179" s="269"/>
      <c r="G179" s="98">
        <f>2000+8465+470.8</f>
        <v>10935.8</v>
      </c>
      <c r="H179" s="98">
        <f>105+470.3</f>
        <v>575.3</v>
      </c>
      <c r="I179" s="456"/>
      <c r="J179" s="440" t="s">
        <v>268</v>
      </c>
      <c r="K179" s="433" t="s">
        <v>80</v>
      </c>
    </row>
    <row r="180" spans="1:11" ht="62.25" customHeight="1">
      <c r="A180" s="495"/>
      <c r="B180" s="451"/>
      <c r="C180" s="446"/>
      <c r="D180" s="469">
        <v>2015</v>
      </c>
      <c r="E180" s="470">
        <f>G180+H180</f>
        <v>2563.3</v>
      </c>
      <c r="F180" s="457"/>
      <c r="G180" s="457">
        <v>2563.3</v>
      </c>
      <c r="H180" s="457">
        <v>0</v>
      </c>
      <c r="I180" s="457"/>
      <c r="J180" s="441"/>
      <c r="K180" s="434"/>
    </row>
    <row r="181" spans="1:11" ht="14.25" customHeight="1" hidden="1">
      <c r="A181" s="495"/>
      <c r="B181" s="451"/>
      <c r="C181" s="446"/>
      <c r="D181" s="469"/>
      <c r="E181" s="470"/>
      <c r="F181" s="457"/>
      <c r="G181" s="457"/>
      <c r="H181" s="457"/>
      <c r="I181" s="457"/>
      <c r="J181" s="270"/>
      <c r="K181" s="434"/>
    </row>
    <row r="182" spans="1:11" ht="45" customHeight="1" hidden="1">
      <c r="A182" s="533"/>
      <c r="B182" s="439"/>
      <c r="C182" s="437"/>
      <c r="D182" s="271"/>
      <c r="E182" s="102"/>
      <c r="F182" s="272"/>
      <c r="G182" s="103"/>
      <c r="H182" s="103"/>
      <c r="I182" s="458"/>
      <c r="J182" s="79"/>
      <c r="K182" s="102"/>
    </row>
    <row r="183" spans="1:11" ht="17.25" customHeight="1">
      <c r="A183" s="494" t="s">
        <v>229</v>
      </c>
      <c r="B183" s="438" t="s">
        <v>325</v>
      </c>
      <c r="C183" s="436" t="s">
        <v>253</v>
      </c>
      <c r="D183" s="96">
        <v>2014</v>
      </c>
      <c r="E183" s="97">
        <f>G183+H183</f>
        <v>2631</v>
      </c>
      <c r="F183" s="98"/>
      <c r="G183" s="98">
        <v>2500</v>
      </c>
      <c r="H183" s="98">
        <v>131</v>
      </c>
      <c r="I183" s="92"/>
      <c r="J183" s="261"/>
      <c r="K183" s="93" t="s">
        <v>80</v>
      </c>
    </row>
    <row r="184" spans="1:11" ht="24.75" customHeight="1">
      <c r="A184" s="495"/>
      <c r="B184" s="451"/>
      <c r="C184" s="501"/>
      <c r="D184" s="239">
        <v>2015</v>
      </c>
      <c r="E184" s="97">
        <f>G184+H184</f>
        <v>4210</v>
      </c>
      <c r="F184" s="273"/>
      <c r="G184" s="98">
        <v>4000</v>
      </c>
      <c r="H184" s="273">
        <v>210</v>
      </c>
      <c r="I184" s="98"/>
      <c r="J184" s="268"/>
      <c r="K184" s="274"/>
    </row>
    <row r="185" spans="1:11" ht="42" customHeight="1">
      <c r="A185" s="533"/>
      <c r="B185" s="439"/>
      <c r="C185" s="523"/>
      <c r="D185" s="242"/>
      <c r="E185" s="102"/>
      <c r="F185" s="275"/>
      <c r="G185" s="103"/>
      <c r="H185" s="275"/>
      <c r="I185" s="103"/>
      <c r="J185" s="276"/>
      <c r="K185" s="104"/>
    </row>
    <row r="186" spans="1:11" ht="21.75" customHeight="1">
      <c r="A186" s="449" t="s">
        <v>436</v>
      </c>
      <c r="B186" s="438" t="s">
        <v>95</v>
      </c>
      <c r="C186" s="436" t="s">
        <v>253</v>
      </c>
      <c r="D186" s="469">
        <v>2015</v>
      </c>
      <c r="E186" s="470">
        <f>G186+H186</f>
        <v>3579.6</v>
      </c>
      <c r="F186" s="457"/>
      <c r="G186" s="457">
        <f>4400-2000+1056.6</f>
        <v>3456.6</v>
      </c>
      <c r="H186" s="457">
        <f>223-100</f>
        <v>123</v>
      </c>
      <c r="I186" s="457"/>
      <c r="J186" s="440"/>
      <c r="K186" s="433" t="s">
        <v>80</v>
      </c>
    </row>
    <row r="187" spans="1:11" ht="54" customHeight="1">
      <c r="A187" s="450"/>
      <c r="B187" s="451"/>
      <c r="C187" s="446"/>
      <c r="D187" s="466"/>
      <c r="E187" s="468"/>
      <c r="F187" s="458"/>
      <c r="G187" s="458"/>
      <c r="H187" s="458"/>
      <c r="I187" s="458"/>
      <c r="J187" s="441"/>
      <c r="K187" s="434"/>
    </row>
    <row r="188" spans="1:11" ht="36.75" customHeight="1" hidden="1">
      <c r="A188" s="452"/>
      <c r="B188" s="439"/>
      <c r="C188" s="437"/>
      <c r="D188" s="211">
        <v>2017</v>
      </c>
      <c r="E188" s="85">
        <f>G188+H188</f>
        <v>2631</v>
      </c>
      <c r="F188" s="107"/>
      <c r="G188" s="107">
        <v>2500</v>
      </c>
      <c r="H188" s="107">
        <v>131</v>
      </c>
      <c r="I188" s="216"/>
      <c r="J188" s="471"/>
      <c r="K188" s="435"/>
    </row>
    <row r="189" spans="1:11" ht="42" customHeight="1">
      <c r="A189" s="449" t="s">
        <v>430</v>
      </c>
      <c r="B189" s="438" t="s">
        <v>55</v>
      </c>
      <c r="C189" s="436" t="s">
        <v>253</v>
      </c>
      <c r="D189" s="465">
        <v>2015</v>
      </c>
      <c r="E189" s="467">
        <f>G189+H189</f>
        <v>6526.3</v>
      </c>
      <c r="F189" s="456"/>
      <c r="G189" s="456">
        <f>4000-1000+7000-4000</f>
        <v>6000</v>
      </c>
      <c r="H189" s="456">
        <f>210+316.3</f>
        <v>526.3</v>
      </c>
      <c r="I189" s="456"/>
      <c r="J189" s="440"/>
      <c r="K189" s="433" t="s">
        <v>80</v>
      </c>
    </row>
    <row r="190" spans="1:11" ht="37.5" customHeight="1">
      <c r="A190" s="450"/>
      <c r="B190" s="451"/>
      <c r="C190" s="446"/>
      <c r="D190" s="466"/>
      <c r="E190" s="468"/>
      <c r="F190" s="458"/>
      <c r="G190" s="458"/>
      <c r="H190" s="458"/>
      <c r="I190" s="458"/>
      <c r="J190" s="441"/>
      <c r="K190" s="434"/>
    </row>
    <row r="191" spans="1:11" ht="42.75" customHeight="1" hidden="1">
      <c r="A191" s="452"/>
      <c r="B191" s="439"/>
      <c r="C191" s="437"/>
      <c r="D191" s="96">
        <v>2017</v>
      </c>
      <c r="E191" s="97">
        <f>G191+H191</f>
        <v>5263</v>
      </c>
      <c r="F191" s="98"/>
      <c r="G191" s="98">
        <v>5000</v>
      </c>
      <c r="H191" s="98">
        <v>263</v>
      </c>
      <c r="I191" s="92"/>
      <c r="J191" s="471"/>
      <c r="K191" s="435"/>
    </row>
    <row r="192" spans="1:11" ht="70.5" customHeight="1">
      <c r="A192" s="212" t="s">
        <v>232</v>
      </c>
      <c r="B192" s="91" t="s">
        <v>57</v>
      </c>
      <c r="C192" s="87" t="s">
        <v>253</v>
      </c>
      <c r="D192" s="96">
        <v>2015</v>
      </c>
      <c r="E192" s="97">
        <f>G192+H192</f>
        <v>1306.1</v>
      </c>
      <c r="F192" s="98"/>
      <c r="G192" s="98">
        <f>1500-256.2</f>
        <v>1243.8</v>
      </c>
      <c r="H192" s="98">
        <f>75-12.7</f>
        <v>62.3</v>
      </c>
      <c r="I192" s="98"/>
      <c r="J192" s="84" t="s">
        <v>268</v>
      </c>
      <c r="K192" s="214" t="s">
        <v>80</v>
      </c>
    </row>
    <row r="193" spans="1:11" ht="81.75" customHeight="1">
      <c r="A193" s="212" t="s">
        <v>153</v>
      </c>
      <c r="B193" s="91" t="s">
        <v>326</v>
      </c>
      <c r="C193" s="87" t="s">
        <v>253</v>
      </c>
      <c r="D193" s="211">
        <v>2014</v>
      </c>
      <c r="E193" s="85">
        <f aca="true" t="shared" si="4" ref="E193:E202">G193+H193</f>
        <v>4348.5</v>
      </c>
      <c r="F193" s="107"/>
      <c r="G193" s="107">
        <f>4000+138.5</f>
        <v>4138.5</v>
      </c>
      <c r="H193" s="107">
        <v>210</v>
      </c>
      <c r="I193" s="107"/>
      <c r="J193" s="261" t="s">
        <v>268</v>
      </c>
      <c r="K193" s="199" t="s">
        <v>80</v>
      </c>
    </row>
    <row r="194" spans="1:11" ht="30" customHeight="1">
      <c r="A194" s="494" t="s">
        <v>154</v>
      </c>
      <c r="B194" s="438" t="s">
        <v>327</v>
      </c>
      <c r="C194" s="436" t="s">
        <v>253</v>
      </c>
      <c r="D194" s="211">
        <v>2014</v>
      </c>
      <c r="E194" s="85">
        <f t="shared" si="4"/>
        <v>2105</v>
      </c>
      <c r="F194" s="107"/>
      <c r="G194" s="107">
        <v>2000</v>
      </c>
      <c r="H194" s="107">
        <v>105</v>
      </c>
      <c r="I194" s="216"/>
      <c r="J194" s="261" t="s">
        <v>268</v>
      </c>
      <c r="K194" s="93" t="s">
        <v>80</v>
      </c>
    </row>
    <row r="195" spans="1:11" ht="56.25" customHeight="1">
      <c r="A195" s="533"/>
      <c r="B195" s="439"/>
      <c r="C195" s="437"/>
      <c r="D195" s="211">
        <v>2015</v>
      </c>
      <c r="E195" s="85">
        <f t="shared" si="4"/>
        <v>3157</v>
      </c>
      <c r="F195" s="107"/>
      <c r="G195" s="107">
        <v>3000</v>
      </c>
      <c r="H195" s="107">
        <v>157</v>
      </c>
      <c r="I195" s="216"/>
      <c r="J195" s="263"/>
      <c r="K195" s="104"/>
    </row>
    <row r="196" spans="1:11" ht="82.5" customHeight="1">
      <c r="A196" s="212" t="s">
        <v>155</v>
      </c>
      <c r="B196" s="194" t="s">
        <v>329</v>
      </c>
      <c r="C196" s="199" t="s">
        <v>253</v>
      </c>
      <c r="D196" s="211">
        <v>2014</v>
      </c>
      <c r="E196" s="85">
        <f t="shared" si="4"/>
        <v>2169</v>
      </c>
      <c r="F196" s="107"/>
      <c r="G196" s="107">
        <v>2060</v>
      </c>
      <c r="H196" s="107">
        <v>109</v>
      </c>
      <c r="I196" s="107"/>
      <c r="J196" s="262" t="s">
        <v>268</v>
      </c>
      <c r="K196" s="214" t="s">
        <v>80</v>
      </c>
    </row>
    <row r="197" spans="1:11" ht="24.75" customHeight="1">
      <c r="A197" s="449" t="s">
        <v>156</v>
      </c>
      <c r="B197" s="438" t="s">
        <v>330</v>
      </c>
      <c r="C197" s="436" t="s">
        <v>253</v>
      </c>
      <c r="D197" s="211">
        <v>2014</v>
      </c>
      <c r="E197" s="85">
        <f t="shared" si="4"/>
        <v>2105</v>
      </c>
      <c r="F197" s="107"/>
      <c r="G197" s="107">
        <v>2000</v>
      </c>
      <c r="H197" s="107">
        <v>105</v>
      </c>
      <c r="I197" s="216"/>
      <c r="J197" s="440"/>
      <c r="K197" s="433" t="s">
        <v>80</v>
      </c>
    </row>
    <row r="198" spans="1:11" ht="57.75" customHeight="1">
      <c r="A198" s="450"/>
      <c r="B198" s="451"/>
      <c r="C198" s="446"/>
      <c r="D198" s="211">
        <v>2015</v>
      </c>
      <c r="E198" s="85">
        <f t="shared" si="4"/>
        <v>3150</v>
      </c>
      <c r="F198" s="107"/>
      <c r="G198" s="107">
        <v>3000</v>
      </c>
      <c r="H198" s="107">
        <v>150</v>
      </c>
      <c r="I198" s="216"/>
      <c r="J198" s="441"/>
      <c r="K198" s="434"/>
    </row>
    <row r="199" spans="1:11" ht="41.25" customHeight="1" hidden="1">
      <c r="A199" s="452"/>
      <c r="B199" s="439"/>
      <c r="C199" s="437"/>
      <c r="D199" s="211">
        <v>2017</v>
      </c>
      <c r="E199" s="85">
        <f t="shared" si="4"/>
        <v>5024.5</v>
      </c>
      <c r="F199" s="107"/>
      <c r="G199" s="107">
        <v>4824.5</v>
      </c>
      <c r="H199" s="107">
        <v>200</v>
      </c>
      <c r="I199" s="216"/>
      <c r="J199" s="471"/>
      <c r="K199" s="435"/>
    </row>
    <row r="200" spans="1:12" s="19" customFormat="1" ht="52.5" customHeight="1">
      <c r="A200" s="449" t="s">
        <v>157</v>
      </c>
      <c r="B200" s="438" t="s">
        <v>331</v>
      </c>
      <c r="C200" s="436" t="s">
        <v>253</v>
      </c>
      <c r="D200" s="211">
        <v>2014</v>
      </c>
      <c r="E200" s="85">
        <f t="shared" si="4"/>
        <v>2368.84</v>
      </c>
      <c r="F200" s="107"/>
      <c r="G200" s="107">
        <v>2250.4</v>
      </c>
      <c r="H200" s="107">
        <v>118.44</v>
      </c>
      <c r="I200" s="107"/>
      <c r="J200" s="440" t="s">
        <v>268</v>
      </c>
      <c r="K200" s="433" t="s">
        <v>80</v>
      </c>
      <c r="L200" s="52"/>
    </row>
    <row r="201" spans="1:12" s="19" customFormat="1" ht="31.5" customHeight="1">
      <c r="A201" s="452"/>
      <c r="B201" s="439"/>
      <c r="C201" s="437"/>
      <c r="D201" s="211">
        <v>2015</v>
      </c>
      <c r="E201" s="85">
        <f t="shared" si="4"/>
        <v>1271.7</v>
      </c>
      <c r="F201" s="107"/>
      <c r="G201" s="107">
        <f>1219.6-12.6</f>
        <v>1207</v>
      </c>
      <c r="H201" s="107">
        <v>64.7</v>
      </c>
      <c r="I201" s="107"/>
      <c r="J201" s="471"/>
      <c r="K201" s="435"/>
      <c r="L201" s="52"/>
    </row>
    <row r="202" spans="1:11" ht="66" customHeight="1">
      <c r="A202" s="212" t="s">
        <v>158</v>
      </c>
      <c r="B202" s="91" t="s">
        <v>332</v>
      </c>
      <c r="C202" s="87" t="s">
        <v>253</v>
      </c>
      <c r="D202" s="211">
        <v>2014</v>
      </c>
      <c r="E202" s="85">
        <f t="shared" si="4"/>
        <v>3315</v>
      </c>
      <c r="F202" s="107"/>
      <c r="G202" s="107">
        <v>3100</v>
      </c>
      <c r="H202" s="107">
        <v>215</v>
      </c>
      <c r="I202" s="107"/>
      <c r="J202" s="261" t="s">
        <v>268</v>
      </c>
      <c r="K202" s="214" t="s">
        <v>80</v>
      </c>
    </row>
    <row r="203" spans="1:11" ht="14.25" customHeight="1" hidden="1">
      <c r="A203" s="227"/>
      <c r="B203" s="91"/>
      <c r="C203" s="87"/>
      <c r="D203" s="211"/>
      <c r="E203" s="85"/>
      <c r="F203" s="107"/>
      <c r="G203" s="107"/>
      <c r="H203" s="107"/>
      <c r="I203" s="216"/>
      <c r="J203" s="261"/>
      <c r="K203" s="93"/>
    </row>
    <row r="204" spans="1:11" ht="58.5" customHeight="1">
      <c r="A204" s="449" t="s">
        <v>159</v>
      </c>
      <c r="B204" s="438" t="s">
        <v>385</v>
      </c>
      <c r="C204" s="436" t="s">
        <v>253</v>
      </c>
      <c r="D204" s="211">
        <v>2014</v>
      </c>
      <c r="E204" s="85">
        <f>G204+H204</f>
        <v>1379</v>
      </c>
      <c r="F204" s="107"/>
      <c r="G204" s="107">
        <v>1310</v>
      </c>
      <c r="H204" s="107">
        <v>69</v>
      </c>
      <c r="I204" s="216"/>
      <c r="J204" s="440"/>
      <c r="K204" s="440" t="s">
        <v>80</v>
      </c>
    </row>
    <row r="205" spans="1:11" ht="58.5" customHeight="1">
      <c r="A205" s="450"/>
      <c r="B205" s="451"/>
      <c r="C205" s="446"/>
      <c r="D205" s="211">
        <v>2015</v>
      </c>
      <c r="E205" s="85">
        <f>G205+H205</f>
        <v>2570</v>
      </c>
      <c r="F205" s="107"/>
      <c r="G205" s="107">
        <f>3870-1500</f>
        <v>2370</v>
      </c>
      <c r="H205" s="107">
        <v>200</v>
      </c>
      <c r="I205" s="216"/>
      <c r="J205" s="441"/>
      <c r="K205" s="441"/>
    </row>
    <row r="206" spans="1:11" ht="48" customHeight="1" hidden="1">
      <c r="A206" s="452"/>
      <c r="B206" s="439"/>
      <c r="C206" s="437"/>
      <c r="D206" s="211">
        <v>2017</v>
      </c>
      <c r="E206" s="85">
        <f>G206+H206</f>
        <v>2105</v>
      </c>
      <c r="F206" s="107"/>
      <c r="G206" s="107">
        <v>2000</v>
      </c>
      <c r="H206" s="107">
        <v>105</v>
      </c>
      <c r="I206" s="216"/>
      <c r="J206" s="471"/>
      <c r="K206" s="471"/>
    </row>
    <row r="207" spans="1:11" ht="42" customHeight="1">
      <c r="A207" s="449" t="s">
        <v>160</v>
      </c>
      <c r="B207" s="438" t="s">
        <v>333</v>
      </c>
      <c r="C207" s="436" t="s">
        <v>253</v>
      </c>
      <c r="D207" s="465">
        <v>2014</v>
      </c>
      <c r="E207" s="467">
        <f>G207+H207</f>
        <v>5950</v>
      </c>
      <c r="F207" s="456"/>
      <c r="G207" s="456">
        <v>5428</v>
      </c>
      <c r="H207" s="456">
        <v>522</v>
      </c>
      <c r="I207" s="456"/>
      <c r="J207" s="440" t="s">
        <v>268</v>
      </c>
      <c r="K207" s="440" t="s">
        <v>80</v>
      </c>
    </row>
    <row r="208" spans="1:11" ht="42" customHeight="1">
      <c r="A208" s="452"/>
      <c r="B208" s="439"/>
      <c r="C208" s="437"/>
      <c r="D208" s="466"/>
      <c r="E208" s="468"/>
      <c r="F208" s="458"/>
      <c r="G208" s="458"/>
      <c r="H208" s="458"/>
      <c r="I208" s="458"/>
      <c r="J208" s="471"/>
      <c r="K208" s="471"/>
    </row>
    <row r="209" spans="1:11" ht="53.25" customHeight="1">
      <c r="A209" s="449" t="s">
        <v>161</v>
      </c>
      <c r="B209" s="438" t="s">
        <v>1</v>
      </c>
      <c r="C209" s="436" t="s">
        <v>253</v>
      </c>
      <c r="D209" s="277">
        <v>2014</v>
      </c>
      <c r="E209" s="102">
        <f aca="true" t="shared" si="5" ref="E209:E218">G209+H209</f>
        <v>934.2</v>
      </c>
      <c r="F209" s="103"/>
      <c r="G209" s="103">
        <f>540-240+574.2</f>
        <v>874.2</v>
      </c>
      <c r="H209" s="103">
        <f>30+30</f>
        <v>60</v>
      </c>
      <c r="I209" s="103"/>
      <c r="J209" s="440"/>
      <c r="K209" s="440" t="s">
        <v>80</v>
      </c>
    </row>
    <row r="210" spans="1:11" ht="36" customHeight="1">
      <c r="A210" s="450"/>
      <c r="B210" s="451"/>
      <c r="C210" s="446"/>
      <c r="D210" s="277">
        <v>2015</v>
      </c>
      <c r="E210" s="102">
        <f t="shared" si="5"/>
        <v>4300</v>
      </c>
      <c r="F210" s="103"/>
      <c r="G210" s="103">
        <f>1500+808.1+370.7+1406.2</f>
        <v>4085</v>
      </c>
      <c r="H210" s="103">
        <v>215</v>
      </c>
      <c r="I210" s="103"/>
      <c r="J210" s="441"/>
      <c r="K210" s="441"/>
    </row>
    <row r="211" spans="1:11" ht="28.5" customHeight="1" hidden="1">
      <c r="A211" s="452"/>
      <c r="B211" s="439"/>
      <c r="C211" s="437"/>
      <c r="D211" s="277">
        <v>2017</v>
      </c>
      <c r="E211" s="102">
        <f t="shared" si="5"/>
        <v>5657.9</v>
      </c>
      <c r="F211" s="103"/>
      <c r="G211" s="103">
        <v>5157.9</v>
      </c>
      <c r="H211" s="103">
        <v>500</v>
      </c>
      <c r="I211" s="103"/>
      <c r="J211" s="471"/>
      <c r="K211" s="471"/>
    </row>
    <row r="212" spans="1:11" ht="26.25" customHeight="1">
      <c r="A212" s="494" t="s">
        <v>162</v>
      </c>
      <c r="B212" s="438" t="s">
        <v>334</v>
      </c>
      <c r="C212" s="436" t="s">
        <v>253</v>
      </c>
      <c r="D212" s="211">
        <v>2014</v>
      </c>
      <c r="E212" s="85">
        <f t="shared" si="5"/>
        <v>3965.8</v>
      </c>
      <c r="F212" s="107"/>
      <c r="G212" s="107">
        <f>3000+775</f>
        <v>3775</v>
      </c>
      <c r="H212" s="107">
        <f>150+40.8</f>
        <v>190.8</v>
      </c>
      <c r="I212" s="107"/>
      <c r="J212" s="440" t="s">
        <v>268</v>
      </c>
      <c r="K212" s="93" t="s">
        <v>80</v>
      </c>
    </row>
    <row r="213" spans="1:11" ht="56.25" customHeight="1">
      <c r="A213" s="495"/>
      <c r="B213" s="451"/>
      <c r="C213" s="446"/>
      <c r="D213" s="211">
        <v>2015</v>
      </c>
      <c r="E213" s="85">
        <f t="shared" si="5"/>
        <v>2856.7</v>
      </c>
      <c r="F213" s="107"/>
      <c r="G213" s="107">
        <f>2090+622.7</f>
        <v>2712.7</v>
      </c>
      <c r="H213" s="107">
        <v>144</v>
      </c>
      <c r="I213" s="107"/>
      <c r="J213" s="441"/>
      <c r="K213" s="99"/>
    </row>
    <row r="214" spans="1:11" ht="39" customHeight="1">
      <c r="A214" s="494" t="s">
        <v>163</v>
      </c>
      <c r="B214" s="438" t="s">
        <v>2</v>
      </c>
      <c r="C214" s="436" t="s">
        <v>253</v>
      </c>
      <c r="D214" s="211">
        <v>2014</v>
      </c>
      <c r="E214" s="85">
        <f t="shared" si="5"/>
        <v>3740</v>
      </c>
      <c r="F214" s="107"/>
      <c r="G214" s="107">
        <v>3500</v>
      </c>
      <c r="H214" s="107">
        <v>240</v>
      </c>
      <c r="I214" s="107"/>
      <c r="J214" s="278" t="s">
        <v>268</v>
      </c>
      <c r="K214" s="93" t="s">
        <v>80</v>
      </c>
    </row>
    <row r="215" spans="1:11" ht="43.5" customHeight="1">
      <c r="A215" s="533"/>
      <c r="B215" s="439"/>
      <c r="C215" s="437"/>
      <c r="D215" s="211">
        <v>2015</v>
      </c>
      <c r="E215" s="85">
        <f t="shared" si="5"/>
        <v>11259.5</v>
      </c>
      <c r="F215" s="107"/>
      <c r="G215" s="107">
        <f>7339+3498</f>
        <v>10837</v>
      </c>
      <c r="H215" s="107">
        <f>398+24.5</f>
        <v>422.5</v>
      </c>
      <c r="I215" s="107"/>
      <c r="J215" s="79"/>
      <c r="K215" s="104"/>
    </row>
    <row r="216" spans="1:11" ht="14.25" customHeight="1">
      <c r="A216" s="494" t="s">
        <v>164</v>
      </c>
      <c r="B216" s="438" t="s">
        <v>2</v>
      </c>
      <c r="C216" s="436" t="s">
        <v>253</v>
      </c>
      <c r="D216" s="211">
        <v>2014</v>
      </c>
      <c r="E216" s="85">
        <f t="shared" si="5"/>
        <v>1053</v>
      </c>
      <c r="F216" s="107"/>
      <c r="G216" s="107">
        <v>1000</v>
      </c>
      <c r="H216" s="107">
        <v>53</v>
      </c>
      <c r="I216" s="216"/>
      <c r="J216" s="261" t="s">
        <v>268</v>
      </c>
      <c r="K216" s="87" t="s">
        <v>80</v>
      </c>
    </row>
    <row r="217" spans="1:11" ht="72" customHeight="1">
      <c r="A217" s="533"/>
      <c r="B217" s="439"/>
      <c r="C217" s="437"/>
      <c r="D217" s="211">
        <v>2015</v>
      </c>
      <c r="E217" s="85">
        <f t="shared" si="5"/>
        <v>4037</v>
      </c>
      <c r="F217" s="107"/>
      <c r="G217" s="107">
        <f>3860-25</f>
        <v>3835</v>
      </c>
      <c r="H217" s="107">
        <f>203-1</f>
        <v>202</v>
      </c>
      <c r="I217" s="216"/>
      <c r="J217" s="263"/>
      <c r="K217" s="88"/>
    </row>
    <row r="218" spans="1:11" ht="29.25" customHeight="1">
      <c r="A218" s="449" t="s">
        <v>165</v>
      </c>
      <c r="B218" s="596" t="s">
        <v>322</v>
      </c>
      <c r="C218" s="522" t="s">
        <v>253</v>
      </c>
      <c r="D218" s="211">
        <v>2014</v>
      </c>
      <c r="E218" s="85">
        <f t="shared" si="5"/>
        <v>1424.3</v>
      </c>
      <c r="F218" s="107"/>
      <c r="G218" s="107">
        <f>1500-150.3</f>
        <v>1349.7</v>
      </c>
      <c r="H218" s="107">
        <f>203-128.4</f>
        <v>74.6</v>
      </c>
      <c r="I218" s="216"/>
      <c r="J218" s="440"/>
      <c r="K218" s="535" t="s">
        <v>80</v>
      </c>
    </row>
    <row r="219" spans="1:11" ht="54.75" customHeight="1">
      <c r="A219" s="450"/>
      <c r="B219" s="597"/>
      <c r="C219" s="501"/>
      <c r="D219" s="211">
        <v>2015</v>
      </c>
      <c r="E219" s="85">
        <f>H219+G219</f>
        <v>1424.7</v>
      </c>
      <c r="F219" s="107"/>
      <c r="G219" s="107">
        <f>1183+170.5</f>
        <v>1353.5</v>
      </c>
      <c r="H219" s="107">
        <v>71.2</v>
      </c>
      <c r="I219" s="216"/>
      <c r="J219" s="441"/>
      <c r="K219" s="536"/>
    </row>
    <row r="220" spans="1:12" ht="17.25" customHeight="1" hidden="1">
      <c r="A220" s="450"/>
      <c r="B220" s="597"/>
      <c r="C220" s="501"/>
      <c r="D220" s="279"/>
      <c r="E220" s="280"/>
      <c r="F220" s="281"/>
      <c r="G220" s="281"/>
      <c r="H220" s="281"/>
      <c r="I220" s="281"/>
      <c r="J220" s="441"/>
      <c r="K220" s="536"/>
      <c r="L220" s="53"/>
    </row>
    <row r="221" spans="1:12" ht="17.25" customHeight="1" hidden="1">
      <c r="A221" s="450"/>
      <c r="B221" s="597"/>
      <c r="C221" s="501"/>
      <c r="D221" s="279"/>
      <c r="E221" s="280"/>
      <c r="F221" s="281"/>
      <c r="G221" s="281"/>
      <c r="H221" s="281"/>
      <c r="I221" s="281"/>
      <c r="J221" s="441"/>
      <c r="K221" s="536"/>
      <c r="L221" s="53"/>
    </row>
    <row r="222" spans="1:12" ht="17.25" customHeight="1" hidden="1">
      <c r="A222" s="452"/>
      <c r="B222" s="598"/>
      <c r="C222" s="523"/>
      <c r="D222" s="211">
        <v>0</v>
      </c>
      <c r="E222" s="85">
        <v>0</v>
      </c>
      <c r="F222" s="107"/>
      <c r="G222" s="107">
        <v>0</v>
      </c>
      <c r="H222" s="107">
        <v>0</v>
      </c>
      <c r="I222" s="216"/>
      <c r="J222" s="471"/>
      <c r="K222" s="563"/>
      <c r="L222" s="53"/>
    </row>
    <row r="223" spans="1:11" ht="17.25" customHeight="1">
      <c r="A223" s="494" t="s">
        <v>166</v>
      </c>
      <c r="B223" s="438" t="s">
        <v>335</v>
      </c>
      <c r="C223" s="436" t="s">
        <v>253</v>
      </c>
      <c r="D223" s="211">
        <v>2014</v>
      </c>
      <c r="E223" s="85">
        <f>G223+H223</f>
        <v>2126</v>
      </c>
      <c r="F223" s="107"/>
      <c r="G223" s="107">
        <v>2000</v>
      </c>
      <c r="H223" s="107">
        <v>126</v>
      </c>
      <c r="I223" s="216"/>
      <c r="J223" s="261" t="s">
        <v>268</v>
      </c>
      <c r="K223" s="87" t="s">
        <v>80</v>
      </c>
    </row>
    <row r="224" spans="1:11" ht="86.25" customHeight="1">
      <c r="A224" s="533"/>
      <c r="B224" s="439"/>
      <c r="C224" s="437"/>
      <c r="D224" s="211">
        <v>2015</v>
      </c>
      <c r="E224" s="85">
        <f>G224+H224</f>
        <v>2044</v>
      </c>
      <c r="F224" s="107"/>
      <c r="G224" s="107">
        <f>2900-957.8</f>
        <v>1942.2</v>
      </c>
      <c r="H224" s="107">
        <f>152-50.2</f>
        <v>101.8</v>
      </c>
      <c r="I224" s="216"/>
      <c r="J224" s="262"/>
      <c r="K224" s="88"/>
    </row>
    <row r="225" spans="1:11" ht="17.25" customHeight="1">
      <c r="A225" s="494" t="s">
        <v>167</v>
      </c>
      <c r="B225" s="438" t="s">
        <v>336</v>
      </c>
      <c r="C225" s="522" t="s">
        <v>253</v>
      </c>
      <c r="D225" s="211">
        <v>2014</v>
      </c>
      <c r="E225" s="85">
        <f>G225+H225</f>
        <v>2121</v>
      </c>
      <c r="F225" s="107"/>
      <c r="G225" s="107">
        <v>2000</v>
      </c>
      <c r="H225" s="107">
        <v>121</v>
      </c>
      <c r="I225" s="216"/>
      <c r="J225" s="261" t="s">
        <v>268</v>
      </c>
      <c r="K225" s="87" t="s">
        <v>80</v>
      </c>
    </row>
    <row r="226" spans="1:11" ht="66.75" customHeight="1">
      <c r="A226" s="495"/>
      <c r="B226" s="451"/>
      <c r="C226" s="501"/>
      <c r="D226" s="211">
        <v>2015</v>
      </c>
      <c r="E226" s="85">
        <f>G226+H226</f>
        <v>3750.2999999999997</v>
      </c>
      <c r="F226" s="107"/>
      <c r="G226" s="107">
        <f>4290-764.8+0.1</f>
        <v>3525.2999999999997</v>
      </c>
      <c r="H226" s="107">
        <v>225</v>
      </c>
      <c r="I226" s="216"/>
      <c r="J226" s="262"/>
      <c r="K226" s="99"/>
    </row>
    <row r="227" spans="1:11" ht="101.25" customHeight="1">
      <c r="A227" s="449" t="s">
        <v>168</v>
      </c>
      <c r="B227" s="438" t="s">
        <v>337</v>
      </c>
      <c r="C227" s="436" t="s">
        <v>253</v>
      </c>
      <c r="D227" s="465">
        <v>2015</v>
      </c>
      <c r="E227" s="467">
        <f>H227+G227</f>
        <v>3500</v>
      </c>
      <c r="F227" s="456"/>
      <c r="G227" s="456">
        <f>4006-1500+604+180-100</f>
        <v>3190</v>
      </c>
      <c r="H227" s="456">
        <v>310</v>
      </c>
      <c r="I227" s="456"/>
      <c r="J227" s="440" t="s">
        <v>268</v>
      </c>
      <c r="K227" s="433" t="s">
        <v>80</v>
      </c>
    </row>
    <row r="228" spans="1:11" ht="17.25" customHeight="1" hidden="1">
      <c r="A228" s="450"/>
      <c r="B228" s="451"/>
      <c r="C228" s="446"/>
      <c r="D228" s="466"/>
      <c r="E228" s="468"/>
      <c r="F228" s="458"/>
      <c r="G228" s="458"/>
      <c r="H228" s="458"/>
      <c r="I228" s="458"/>
      <c r="J228" s="441"/>
      <c r="K228" s="434"/>
    </row>
    <row r="229" spans="1:11" ht="13.5" customHeight="1" hidden="1">
      <c r="A229" s="452"/>
      <c r="B229" s="439"/>
      <c r="C229" s="437"/>
      <c r="D229" s="211">
        <v>2017</v>
      </c>
      <c r="E229" s="85">
        <f aca="true" t="shared" si="6" ref="E229:E236">G229+H229</f>
        <v>1600</v>
      </c>
      <c r="F229" s="107"/>
      <c r="G229" s="107">
        <v>1500</v>
      </c>
      <c r="H229" s="107">
        <v>100</v>
      </c>
      <c r="I229" s="216"/>
      <c r="J229" s="471"/>
      <c r="K229" s="435"/>
    </row>
    <row r="230" spans="1:11" ht="17.25" customHeight="1">
      <c r="A230" s="449" t="s">
        <v>437</v>
      </c>
      <c r="B230" s="438" t="s">
        <v>3</v>
      </c>
      <c r="C230" s="436" t="s">
        <v>253</v>
      </c>
      <c r="D230" s="465">
        <v>2015</v>
      </c>
      <c r="E230" s="467">
        <f>G230+H230</f>
        <v>6000</v>
      </c>
      <c r="F230" s="456"/>
      <c r="G230" s="456">
        <f>3000-1000+11000-7200</f>
        <v>5800</v>
      </c>
      <c r="H230" s="456">
        <f>177-50+557.2-484.2</f>
        <v>200.00000000000006</v>
      </c>
      <c r="I230" s="456"/>
      <c r="J230" s="440" t="s">
        <v>268</v>
      </c>
      <c r="K230" s="433" t="s">
        <v>80</v>
      </c>
    </row>
    <row r="231" spans="1:11" ht="66" customHeight="1">
      <c r="A231" s="450"/>
      <c r="B231" s="451"/>
      <c r="C231" s="446"/>
      <c r="D231" s="466"/>
      <c r="E231" s="468"/>
      <c r="F231" s="458"/>
      <c r="G231" s="458"/>
      <c r="H231" s="458"/>
      <c r="I231" s="458"/>
      <c r="J231" s="441"/>
      <c r="K231" s="434"/>
    </row>
    <row r="232" spans="1:11" ht="17.25" customHeight="1" hidden="1">
      <c r="A232" s="452"/>
      <c r="B232" s="439"/>
      <c r="C232" s="437"/>
      <c r="D232" s="211">
        <v>2017</v>
      </c>
      <c r="E232" s="85">
        <f t="shared" si="6"/>
        <v>2394</v>
      </c>
      <c r="F232" s="107"/>
      <c r="G232" s="107">
        <v>2200</v>
      </c>
      <c r="H232" s="107">
        <v>194</v>
      </c>
      <c r="I232" s="216"/>
      <c r="J232" s="471"/>
      <c r="K232" s="435"/>
    </row>
    <row r="233" spans="1:11" ht="79.5" customHeight="1">
      <c r="A233" s="212" t="s">
        <v>169</v>
      </c>
      <c r="B233" s="194" t="s">
        <v>321</v>
      </c>
      <c r="C233" s="199" t="s">
        <v>253</v>
      </c>
      <c r="D233" s="211">
        <v>2014</v>
      </c>
      <c r="E233" s="85">
        <f t="shared" si="6"/>
        <v>2947</v>
      </c>
      <c r="F233" s="107"/>
      <c r="G233" s="107">
        <v>2800</v>
      </c>
      <c r="H233" s="107">
        <v>147</v>
      </c>
      <c r="I233" s="107"/>
      <c r="J233" s="282" t="s">
        <v>257</v>
      </c>
      <c r="K233" s="214" t="s">
        <v>80</v>
      </c>
    </row>
    <row r="234" spans="1:11" ht="15" customHeight="1">
      <c r="A234" s="494" t="s">
        <v>170</v>
      </c>
      <c r="B234" s="438" t="s">
        <v>338</v>
      </c>
      <c r="C234" s="436" t="s">
        <v>253</v>
      </c>
      <c r="D234" s="465">
        <v>2014</v>
      </c>
      <c r="E234" s="467">
        <f t="shared" si="6"/>
        <v>2522.2</v>
      </c>
      <c r="F234" s="456"/>
      <c r="G234" s="456">
        <f>1000+1395</f>
        <v>2395</v>
      </c>
      <c r="H234" s="456">
        <f>53+74+0.2</f>
        <v>127.2</v>
      </c>
      <c r="I234" s="456"/>
      <c r="J234" s="440" t="s">
        <v>268</v>
      </c>
      <c r="K234" s="440" t="s">
        <v>80</v>
      </c>
    </row>
    <row r="235" spans="1:11" ht="68.25" customHeight="1">
      <c r="A235" s="533"/>
      <c r="B235" s="439"/>
      <c r="C235" s="437"/>
      <c r="D235" s="466"/>
      <c r="E235" s="468"/>
      <c r="F235" s="458"/>
      <c r="G235" s="458"/>
      <c r="H235" s="458"/>
      <c r="I235" s="458"/>
      <c r="J235" s="471"/>
      <c r="K235" s="471"/>
    </row>
    <row r="236" spans="1:11" ht="17.25" customHeight="1">
      <c r="A236" s="494" t="s">
        <v>171</v>
      </c>
      <c r="B236" s="438" t="s">
        <v>339</v>
      </c>
      <c r="C236" s="522" t="s">
        <v>253</v>
      </c>
      <c r="D236" s="239">
        <v>2015</v>
      </c>
      <c r="E236" s="97">
        <f t="shared" si="6"/>
        <v>3126</v>
      </c>
      <c r="F236" s="273"/>
      <c r="G236" s="98">
        <f>3000-22.5</f>
        <v>2977.5</v>
      </c>
      <c r="H236" s="273">
        <f>157-8.5</f>
        <v>148.5</v>
      </c>
      <c r="I236" s="98"/>
      <c r="J236" s="262"/>
      <c r="K236" s="278" t="s">
        <v>80</v>
      </c>
    </row>
    <row r="237" spans="1:11" ht="84" customHeight="1">
      <c r="A237" s="533"/>
      <c r="B237" s="439"/>
      <c r="C237" s="523"/>
      <c r="D237" s="242"/>
      <c r="E237" s="102"/>
      <c r="F237" s="275"/>
      <c r="G237" s="103"/>
      <c r="H237" s="275"/>
      <c r="I237" s="103"/>
      <c r="J237" s="262"/>
      <c r="K237" s="79"/>
    </row>
    <row r="238" spans="1:11" ht="17.25" customHeight="1">
      <c r="A238" s="449" t="s">
        <v>172</v>
      </c>
      <c r="B238" s="438" t="s">
        <v>340</v>
      </c>
      <c r="C238" s="436" t="s">
        <v>253</v>
      </c>
      <c r="D238" s="277">
        <v>2014</v>
      </c>
      <c r="E238" s="102">
        <f aca="true" t="shared" si="7" ref="E238:E263">G238+H238</f>
        <v>3688</v>
      </c>
      <c r="F238" s="103"/>
      <c r="G238" s="103">
        <v>3500</v>
      </c>
      <c r="H238" s="103">
        <v>188</v>
      </c>
      <c r="I238" s="222"/>
      <c r="J238" s="440"/>
      <c r="K238" s="433" t="s">
        <v>80</v>
      </c>
    </row>
    <row r="239" spans="1:11" ht="60" customHeight="1">
      <c r="A239" s="450"/>
      <c r="B239" s="451"/>
      <c r="C239" s="446"/>
      <c r="D239" s="211">
        <v>2015</v>
      </c>
      <c r="E239" s="85">
        <f t="shared" si="7"/>
        <v>5703</v>
      </c>
      <c r="F239" s="107"/>
      <c r="G239" s="107">
        <f>4000+1425</f>
        <v>5425</v>
      </c>
      <c r="H239" s="107">
        <f>203+75</f>
        <v>278</v>
      </c>
      <c r="I239" s="216"/>
      <c r="J239" s="441"/>
      <c r="K239" s="434"/>
    </row>
    <row r="240" spans="1:11" ht="35.25" customHeight="1" hidden="1">
      <c r="A240" s="452"/>
      <c r="B240" s="439"/>
      <c r="C240" s="437"/>
      <c r="D240" s="211">
        <v>2017</v>
      </c>
      <c r="E240" s="85">
        <f>G240+H240</f>
        <v>3591.8</v>
      </c>
      <c r="F240" s="107"/>
      <c r="G240" s="107">
        <v>3391.8</v>
      </c>
      <c r="H240" s="107">
        <v>200</v>
      </c>
      <c r="I240" s="216"/>
      <c r="J240" s="471"/>
      <c r="K240" s="435"/>
    </row>
    <row r="241" spans="1:11" ht="39.75" customHeight="1">
      <c r="A241" s="449" t="s">
        <v>173</v>
      </c>
      <c r="B241" s="438" t="s">
        <v>341</v>
      </c>
      <c r="C241" s="436" t="s">
        <v>253</v>
      </c>
      <c r="D241" s="211">
        <v>2014</v>
      </c>
      <c r="E241" s="85">
        <f t="shared" si="7"/>
        <v>3150</v>
      </c>
      <c r="F241" s="107"/>
      <c r="G241" s="107">
        <v>3000</v>
      </c>
      <c r="H241" s="107">
        <v>150</v>
      </c>
      <c r="I241" s="216"/>
      <c r="J241" s="261"/>
      <c r="K241" s="93" t="s">
        <v>80</v>
      </c>
    </row>
    <row r="242" spans="1:11" ht="17.25" customHeight="1">
      <c r="A242" s="450"/>
      <c r="B242" s="451"/>
      <c r="C242" s="446"/>
      <c r="D242" s="211">
        <v>2015</v>
      </c>
      <c r="E242" s="85">
        <f t="shared" si="7"/>
        <v>3658.7</v>
      </c>
      <c r="F242" s="107"/>
      <c r="G242" s="107">
        <f>4500-1024.3</f>
        <v>3475.7</v>
      </c>
      <c r="H242" s="107">
        <v>183</v>
      </c>
      <c r="I242" s="216"/>
      <c r="J242" s="262"/>
      <c r="K242" s="434"/>
    </row>
    <row r="243" spans="1:11" ht="9.75" customHeight="1" hidden="1">
      <c r="A243" s="452"/>
      <c r="B243" s="439"/>
      <c r="C243" s="437"/>
      <c r="D243" s="96">
        <v>2017</v>
      </c>
      <c r="E243" s="97">
        <f>G243+H243</f>
        <v>4700</v>
      </c>
      <c r="F243" s="98"/>
      <c r="G243" s="98">
        <v>4500</v>
      </c>
      <c r="H243" s="98">
        <v>200</v>
      </c>
      <c r="I243" s="92"/>
      <c r="J243" s="262"/>
      <c r="K243" s="435"/>
    </row>
    <row r="244" spans="1:11" ht="44.25" customHeight="1">
      <c r="A244" s="494" t="s">
        <v>174</v>
      </c>
      <c r="B244" s="438" t="s">
        <v>361</v>
      </c>
      <c r="C244" s="89" t="s">
        <v>253</v>
      </c>
      <c r="D244" s="211">
        <v>2014</v>
      </c>
      <c r="E244" s="85">
        <f t="shared" si="7"/>
        <v>4983.4</v>
      </c>
      <c r="F244" s="283"/>
      <c r="G244" s="107">
        <f>1000+3883.4</f>
        <v>4883.4</v>
      </c>
      <c r="H244" s="107">
        <v>100</v>
      </c>
      <c r="I244" s="283"/>
      <c r="J244" s="261"/>
      <c r="K244" s="93" t="s">
        <v>80</v>
      </c>
    </row>
    <row r="245" spans="1:11" ht="27" customHeight="1">
      <c r="A245" s="509"/>
      <c r="B245" s="439"/>
      <c r="C245" s="89"/>
      <c r="D245" s="277">
        <v>2015</v>
      </c>
      <c r="E245" s="102">
        <f>G245+H245</f>
        <v>2100</v>
      </c>
      <c r="F245" s="272"/>
      <c r="G245" s="103">
        <v>2000</v>
      </c>
      <c r="H245" s="103">
        <v>100</v>
      </c>
      <c r="I245" s="272"/>
      <c r="J245" s="262"/>
      <c r="K245" s="104"/>
    </row>
    <row r="246" spans="1:11" ht="68.25" customHeight="1" hidden="1">
      <c r="A246" s="494" t="s">
        <v>175</v>
      </c>
      <c r="B246" s="438" t="s">
        <v>342</v>
      </c>
      <c r="C246" s="436" t="s">
        <v>253</v>
      </c>
      <c r="D246" s="465">
        <v>2015</v>
      </c>
      <c r="E246" s="467">
        <f>G246+H246</f>
        <v>0</v>
      </c>
      <c r="F246" s="456"/>
      <c r="G246" s="456">
        <f>2000-2000</f>
        <v>0</v>
      </c>
      <c r="H246" s="456">
        <f>105-105</f>
        <v>0</v>
      </c>
      <c r="I246" s="456"/>
      <c r="J246" s="261" t="s">
        <v>268</v>
      </c>
      <c r="K246" s="93" t="s">
        <v>80</v>
      </c>
    </row>
    <row r="247" spans="1:11" ht="2.25" customHeight="1" hidden="1">
      <c r="A247" s="569"/>
      <c r="B247" s="603"/>
      <c r="C247" s="600"/>
      <c r="D247" s="466"/>
      <c r="E247" s="468"/>
      <c r="F247" s="458"/>
      <c r="G247" s="458"/>
      <c r="H247" s="458"/>
      <c r="I247" s="458"/>
      <c r="J247" s="79"/>
      <c r="K247" s="104"/>
    </row>
    <row r="248" spans="1:11" ht="30" customHeight="1">
      <c r="A248" s="449" t="s">
        <v>466</v>
      </c>
      <c r="B248" s="438" t="s">
        <v>419</v>
      </c>
      <c r="C248" s="436" t="s">
        <v>253</v>
      </c>
      <c r="D248" s="465">
        <v>2014</v>
      </c>
      <c r="E248" s="456">
        <f t="shared" si="7"/>
        <v>13008.47</v>
      </c>
      <c r="F248" s="477"/>
      <c r="G248" s="456">
        <f>2000+10908.47</f>
        <v>12908.47</v>
      </c>
      <c r="H248" s="477">
        <v>100</v>
      </c>
      <c r="I248" s="477"/>
      <c r="J248" s="440" t="s">
        <v>268</v>
      </c>
      <c r="K248" s="433" t="s">
        <v>80</v>
      </c>
    </row>
    <row r="249" spans="1:11" ht="27.75" customHeight="1">
      <c r="A249" s="450"/>
      <c r="B249" s="451"/>
      <c r="C249" s="446"/>
      <c r="D249" s="469"/>
      <c r="E249" s="457"/>
      <c r="F249" s="513"/>
      <c r="G249" s="457"/>
      <c r="H249" s="513"/>
      <c r="I249" s="513"/>
      <c r="J249" s="441"/>
      <c r="K249" s="434"/>
    </row>
    <row r="250" spans="1:11" ht="22.5" customHeight="1">
      <c r="A250" s="452"/>
      <c r="B250" s="439"/>
      <c r="C250" s="437"/>
      <c r="D250" s="466"/>
      <c r="E250" s="458"/>
      <c r="F250" s="478"/>
      <c r="G250" s="458"/>
      <c r="H250" s="478"/>
      <c r="I250" s="478"/>
      <c r="J250" s="471"/>
      <c r="K250" s="435"/>
    </row>
    <row r="251" spans="1:11" ht="40.5" customHeight="1">
      <c r="A251" s="494" t="s">
        <v>467</v>
      </c>
      <c r="B251" s="451" t="s">
        <v>313</v>
      </c>
      <c r="C251" s="446" t="s">
        <v>253</v>
      </c>
      <c r="D251" s="211">
        <v>2014</v>
      </c>
      <c r="E251" s="85">
        <f t="shared" si="7"/>
        <v>3150</v>
      </c>
      <c r="F251" s="107"/>
      <c r="G251" s="107">
        <v>3000</v>
      </c>
      <c r="H251" s="107">
        <v>150</v>
      </c>
      <c r="I251" s="216"/>
      <c r="J251" s="261" t="s">
        <v>268</v>
      </c>
      <c r="K251" s="99" t="s">
        <v>80</v>
      </c>
    </row>
    <row r="252" spans="1:11" ht="24.75" customHeight="1">
      <c r="A252" s="495"/>
      <c r="B252" s="451"/>
      <c r="C252" s="446"/>
      <c r="D252" s="211">
        <v>2015</v>
      </c>
      <c r="E252" s="85">
        <f t="shared" si="7"/>
        <v>6939</v>
      </c>
      <c r="F252" s="107"/>
      <c r="G252" s="107">
        <f>5000+1319.2+290.8</f>
        <v>6610</v>
      </c>
      <c r="H252" s="107">
        <v>329</v>
      </c>
      <c r="I252" s="216"/>
      <c r="J252" s="262"/>
      <c r="K252" s="99"/>
    </row>
    <row r="253" spans="1:12" ht="17.25" customHeight="1">
      <c r="A253" s="449" t="s">
        <v>468</v>
      </c>
      <c r="B253" s="438" t="s">
        <v>309</v>
      </c>
      <c r="C253" s="436" t="s">
        <v>253</v>
      </c>
      <c r="D253" s="465">
        <v>2014</v>
      </c>
      <c r="E253" s="467">
        <f t="shared" si="7"/>
        <v>27716.6</v>
      </c>
      <c r="F253" s="456"/>
      <c r="G253" s="456">
        <f>7000+19330.8</f>
        <v>26330.8</v>
      </c>
      <c r="H253" s="456">
        <f>258+1127.8</f>
        <v>1385.8</v>
      </c>
      <c r="I253" s="456"/>
      <c r="J253" s="440"/>
      <c r="K253" s="436" t="s">
        <v>80</v>
      </c>
      <c r="L253" s="53"/>
    </row>
    <row r="254" spans="1:11" ht="30.75" customHeight="1">
      <c r="A254" s="450"/>
      <c r="B254" s="451"/>
      <c r="C254" s="446"/>
      <c r="D254" s="469"/>
      <c r="E254" s="470"/>
      <c r="F254" s="457"/>
      <c r="G254" s="457"/>
      <c r="H254" s="457"/>
      <c r="I254" s="457"/>
      <c r="J254" s="441"/>
      <c r="K254" s="446"/>
    </row>
    <row r="255" spans="1:11" ht="17.25" customHeight="1">
      <c r="A255" s="450"/>
      <c r="B255" s="451"/>
      <c r="C255" s="446"/>
      <c r="D255" s="469"/>
      <c r="E255" s="470"/>
      <c r="F255" s="457"/>
      <c r="G255" s="457"/>
      <c r="H255" s="457"/>
      <c r="I255" s="457"/>
      <c r="J255" s="441"/>
      <c r="K255" s="446"/>
    </row>
    <row r="256" spans="1:11" ht="1.5" customHeight="1">
      <c r="A256" s="452"/>
      <c r="B256" s="439"/>
      <c r="C256" s="437"/>
      <c r="D256" s="466"/>
      <c r="E256" s="468"/>
      <c r="F256" s="458"/>
      <c r="G256" s="458"/>
      <c r="H256" s="458"/>
      <c r="I256" s="458"/>
      <c r="J256" s="471"/>
      <c r="K256" s="437"/>
    </row>
    <row r="257" spans="1:11" ht="66.75" customHeight="1">
      <c r="A257" s="449" t="s">
        <v>469</v>
      </c>
      <c r="B257" s="438" t="s">
        <v>309</v>
      </c>
      <c r="C257" s="436" t="s">
        <v>253</v>
      </c>
      <c r="D257" s="211">
        <v>2015</v>
      </c>
      <c r="E257" s="85">
        <f>G257+H257</f>
        <v>15923.7</v>
      </c>
      <c r="F257" s="107"/>
      <c r="G257" s="107">
        <f>4000+5541.2-290.8+1543.4+4000-0.1</f>
        <v>14793.7</v>
      </c>
      <c r="H257" s="107">
        <f>500+630</f>
        <v>1130</v>
      </c>
      <c r="I257" s="107"/>
      <c r="J257" s="440"/>
      <c r="K257" s="436" t="s">
        <v>80</v>
      </c>
    </row>
    <row r="258" spans="1:11" ht="36.75" customHeight="1" hidden="1">
      <c r="A258" s="452"/>
      <c r="B258" s="439"/>
      <c r="C258" s="437"/>
      <c r="D258" s="211">
        <v>2017</v>
      </c>
      <c r="E258" s="85">
        <f>G258+H258</f>
        <v>6300</v>
      </c>
      <c r="F258" s="107"/>
      <c r="G258" s="107">
        <v>6000</v>
      </c>
      <c r="H258" s="107">
        <v>300</v>
      </c>
      <c r="I258" s="107"/>
      <c r="J258" s="471"/>
      <c r="K258" s="437"/>
    </row>
    <row r="259" spans="1:11" ht="90" customHeight="1">
      <c r="A259" s="212" t="s">
        <v>470</v>
      </c>
      <c r="B259" s="194" t="s">
        <v>358</v>
      </c>
      <c r="C259" s="199" t="s">
        <v>253</v>
      </c>
      <c r="D259" s="211">
        <v>2014</v>
      </c>
      <c r="E259" s="85">
        <f t="shared" si="7"/>
        <v>3467.9</v>
      </c>
      <c r="F259" s="107"/>
      <c r="G259" s="107">
        <f>4000-732.1</f>
        <v>3267.9</v>
      </c>
      <c r="H259" s="107">
        <v>200</v>
      </c>
      <c r="I259" s="107"/>
      <c r="J259" s="84" t="s">
        <v>362</v>
      </c>
      <c r="K259" s="199" t="s">
        <v>80</v>
      </c>
    </row>
    <row r="260" spans="1:11" ht="121.5" customHeight="1">
      <c r="A260" s="212" t="s">
        <v>471</v>
      </c>
      <c r="B260" s="194" t="s">
        <v>348</v>
      </c>
      <c r="C260" s="199" t="s">
        <v>253</v>
      </c>
      <c r="D260" s="211">
        <v>2014</v>
      </c>
      <c r="E260" s="85">
        <f t="shared" si="7"/>
        <v>2751.7</v>
      </c>
      <c r="F260" s="107"/>
      <c r="G260" s="107">
        <f>6000-3548.3</f>
        <v>2451.7</v>
      </c>
      <c r="H260" s="107">
        <v>300</v>
      </c>
      <c r="I260" s="107"/>
      <c r="J260" s="84" t="s">
        <v>362</v>
      </c>
      <c r="K260" s="199" t="s">
        <v>80</v>
      </c>
    </row>
    <row r="261" spans="1:11" ht="23.25" customHeight="1">
      <c r="A261" s="494" t="s">
        <v>472</v>
      </c>
      <c r="B261" s="438" t="s">
        <v>343</v>
      </c>
      <c r="C261" s="436" t="s">
        <v>253</v>
      </c>
      <c r="D261" s="211">
        <v>2014</v>
      </c>
      <c r="E261" s="171">
        <f t="shared" si="7"/>
        <v>4040.8</v>
      </c>
      <c r="F261" s="171"/>
      <c r="G261" s="171">
        <f>2872+2223.8-1500+240</f>
        <v>3835.8</v>
      </c>
      <c r="H261" s="171">
        <v>205</v>
      </c>
      <c r="I261" s="284"/>
      <c r="J261" s="278"/>
      <c r="K261" s="87" t="s">
        <v>80</v>
      </c>
    </row>
    <row r="262" spans="1:11" ht="36.75" customHeight="1">
      <c r="A262" s="533"/>
      <c r="B262" s="439"/>
      <c r="C262" s="437"/>
      <c r="D262" s="211">
        <v>2015</v>
      </c>
      <c r="E262" s="171">
        <f t="shared" si="7"/>
        <v>1704</v>
      </c>
      <c r="F262" s="171"/>
      <c r="G262" s="171">
        <v>1600</v>
      </c>
      <c r="H262" s="171">
        <v>104</v>
      </c>
      <c r="I262" s="284"/>
      <c r="J262" s="79"/>
      <c r="K262" s="104"/>
    </row>
    <row r="263" spans="1:11" ht="17.25" customHeight="1">
      <c r="A263" s="449" t="s">
        <v>473</v>
      </c>
      <c r="B263" s="438" t="s">
        <v>239</v>
      </c>
      <c r="C263" s="436" t="s">
        <v>253</v>
      </c>
      <c r="D263" s="285">
        <v>2014</v>
      </c>
      <c r="E263" s="286">
        <f t="shared" si="7"/>
        <v>3038.7000000000003</v>
      </c>
      <c r="F263" s="141"/>
      <c r="G263" s="286">
        <f>1500+1265.4+150.3</f>
        <v>2915.7000000000003</v>
      </c>
      <c r="H263" s="286">
        <v>123</v>
      </c>
      <c r="I263" s="287"/>
      <c r="J263" s="440"/>
      <c r="K263" s="93" t="s">
        <v>80</v>
      </c>
    </row>
    <row r="264" spans="1:11" ht="38.25" customHeight="1">
      <c r="A264" s="450"/>
      <c r="B264" s="451"/>
      <c r="C264" s="446"/>
      <c r="D264" s="211">
        <v>2015</v>
      </c>
      <c r="E264" s="85">
        <f>G264+H264</f>
        <v>3150</v>
      </c>
      <c r="F264" s="107"/>
      <c r="G264" s="107">
        <v>3000</v>
      </c>
      <c r="H264" s="107">
        <v>150</v>
      </c>
      <c r="I264" s="287"/>
      <c r="J264" s="441"/>
      <c r="K264" s="177"/>
    </row>
    <row r="265" spans="1:11" ht="3.75" customHeight="1" hidden="1">
      <c r="A265" s="452"/>
      <c r="B265" s="439"/>
      <c r="C265" s="437"/>
      <c r="D265" s="96">
        <v>2017</v>
      </c>
      <c r="E265" s="97">
        <f>G265+H265</f>
        <v>10991.4</v>
      </c>
      <c r="F265" s="98"/>
      <c r="G265" s="98">
        <v>10471.4</v>
      </c>
      <c r="H265" s="98">
        <v>520</v>
      </c>
      <c r="I265" s="288"/>
      <c r="J265" s="471"/>
      <c r="K265" s="99"/>
    </row>
    <row r="266" spans="1:17" s="34" customFormat="1" ht="15.75" customHeight="1">
      <c r="A266" s="449" t="s">
        <v>474</v>
      </c>
      <c r="B266" s="438" t="s">
        <v>96</v>
      </c>
      <c r="C266" s="436" t="s">
        <v>253</v>
      </c>
      <c r="D266" s="465">
        <v>2014</v>
      </c>
      <c r="E266" s="467">
        <f>G266+H266</f>
        <v>3100</v>
      </c>
      <c r="F266" s="269"/>
      <c r="G266" s="456">
        <v>3000</v>
      </c>
      <c r="H266" s="456">
        <v>100</v>
      </c>
      <c r="I266" s="599"/>
      <c r="J266" s="440"/>
      <c r="K266" s="433" t="s">
        <v>79</v>
      </c>
      <c r="L266" s="53"/>
      <c r="M266" s="3"/>
      <c r="N266" s="3"/>
      <c r="O266" s="3"/>
      <c r="P266" s="3"/>
      <c r="Q266" s="3"/>
    </row>
    <row r="267" spans="1:17" s="35" customFormat="1" ht="17.25" customHeight="1">
      <c r="A267" s="450"/>
      <c r="B267" s="451"/>
      <c r="C267" s="446"/>
      <c r="D267" s="466"/>
      <c r="E267" s="468"/>
      <c r="F267" s="272"/>
      <c r="G267" s="458"/>
      <c r="H267" s="458"/>
      <c r="I267" s="569"/>
      <c r="J267" s="441"/>
      <c r="K267" s="434"/>
      <c r="L267" s="53"/>
      <c r="M267" s="3"/>
      <c r="N267" s="3"/>
      <c r="O267" s="3"/>
      <c r="P267" s="3"/>
      <c r="Q267" s="3"/>
    </row>
    <row r="268" spans="1:17" ht="17.25" customHeight="1" hidden="1">
      <c r="A268" s="450"/>
      <c r="B268" s="451"/>
      <c r="C268" s="446"/>
      <c r="D268" s="210">
        <v>2016</v>
      </c>
      <c r="E268" s="177">
        <f>G268+H268</f>
        <v>0</v>
      </c>
      <c r="F268" s="196"/>
      <c r="G268" s="196">
        <v>0</v>
      </c>
      <c r="H268" s="196">
        <v>0</v>
      </c>
      <c r="I268" s="289"/>
      <c r="J268" s="441"/>
      <c r="K268" s="434"/>
      <c r="L268" s="53"/>
      <c r="M268" s="3"/>
      <c r="N268" s="3"/>
      <c r="O268" s="3"/>
      <c r="P268" s="3"/>
      <c r="Q268" s="3"/>
    </row>
    <row r="269" spans="1:17" ht="63.75" customHeight="1">
      <c r="A269" s="452"/>
      <c r="B269" s="439"/>
      <c r="C269" s="437"/>
      <c r="D269" s="210">
        <v>2015</v>
      </c>
      <c r="E269" s="177">
        <f>G269+H269</f>
        <v>3150</v>
      </c>
      <c r="F269" s="196"/>
      <c r="G269" s="196">
        <f>6821.7-3821.7</f>
        <v>3000</v>
      </c>
      <c r="H269" s="196">
        <v>150</v>
      </c>
      <c r="I269" s="289"/>
      <c r="J269" s="471"/>
      <c r="K269" s="435"/>
      <c r="L269" s="53"/>
      <c r="M269" s="3"/>
      <c r="N269" s="3"/>
      <c r="O269" s="3"/>
      <c r="P269" s="3"/>
      <c r="Q269" s="3"/>
    </row>
    <row r="270" spans="1:11" ht="17.25" customHeight="1">
      <c r="A270" s="449" t="s">
        <v>475</v>
      </c>
      <c r="B270" s="438" t="s">
        <v>97</v>
      </c>
      <c r="C270" s="436" t="s">
        <v>253</v>
      </c>
      <c r="D270" s="465">
        <v>2014</v>
      </c>
      <c r="E270" s="467">
        <f>F270+G270+H270</f>
        <v>2342.9</v>
      </c>
      <c r="F270" s="456"/>
      <c r="G270" s="456">
        <f>2650-574.2+149.6</f>
        <v>2225.4</v>
      </c>
      <c r="H270" s="456">
        <f>110+7.5</f>
        <v>117.5</v>
      </c>
      <c r="I270" s="290"/>
      <c r="J270" s="440" t="s">
        <v>362</v>
      </c>
      <c r="K270" s="93" t="s">
        <v>79</v>
      </c>
    </row>
    <row r="271" spans="1:11" ht="78" customHeight="1">
      <c r="A271" s="452"/>
      <c r="B271" s="439"/>
      <c r="C271" s="437"/>
      <c r="D271" s="466"/>
      <c r="E271" s="468"/>
      <c r="F271" s="458"/>
      <c r="G271" s="458"/>
      <c r="H271" s="458"/>
      <c r="I271" s="291"/>
      <c r="J271" s="471"/>
      <c r="K271" s="104"/>
    </row>
    <row r="272" spans="1:11" ht="15.75" customHeight="1">
      <c r="A272" s="449" t="s">
        <v>476</v>
      </c>
      <c r="B272" s="438" t="s">
        <v>315</v>
      </c>
      <c r="C272" s="436" t="s">
        <v>253</v>
      </c>
      <c r="D272" s="465">
        <v>2014</v>
      </c>
      <c r="E272" s="467">
        <f>G272+H272</f>
        <v>337</v>
      </c>
      <c r="F272" s="456"/>
      <c r="G272" s="456">
        <v>272</v>
      </c>
      <c r="H272" s="456">
        <v>65</v>
      </c>
      <c r="I272" s="292"/>
      <c r="J272" s="440" t="s">
        <v>362</v>
      </c>
      <c r="K272" s="93" t="s">
        <v>79</v>
      </c>
    </row>
    <row r="273" spans="1:11" ht="66.75" customHeight="1">
      <c r="A273" s="452"/>
      <c r="B273" s="439"/>
      <c r="C273" s="437"/>
      <c r="D273" s="466"/>
      <c r="E273" s="468"/>
      <c r="F273" s="458"/>
      <c r="G273" s="458"/>
      <c r="H273" s="458"/>
      <c r="I273" s="291"/>
      <c r="J273" s="471"/>
      <c r="K273" s="293"/>
    </row>
    <row r="274" spans="1:11" ht="22.5" customHeight="1">
      <c r="A274" s="449" t="s">
        <v>477</v>
      </c>
      <c r="B274" s="438" t="s">
        <v>220</v>
      </c>
      <c r="C274" s="436" t="s">
        <v>253</v>
      </c>
      <c r="D274" s="465">
        <v>2014</v>
      </c>
      <c r="E274" s="467">
        <f>F274+H274+G274</f>
        <v>1550</v>
      </c>
      <c r="F274" s="456"/>
      <c r="G274" s="98">
        <v>1500</v>
      </c>
      <c r="H274" s="98">
        <v>50</v>
      </c>
      <c r="I274" s="288"/>
      <c r="J274" s="278" t="s">
        <v>362</v>
      </c>
      <c r="K274" s="93" t="s">
        <v>79</v>
      </c>
    </row>
    <row r="275" spans="1:11" ht="57.75" customHeight="1">
      <c r="A275" s="452"/>
      <c r="B275" s="439"/>
      <c r="C275" s="437"/>
      <c r="D275" s="466"/>
      <c r="E275" s="468"/>
      <c r="F275" s="458"/>
      <c r="G275" s="103"/>
      <c r="H275" s="103"/>
      <c r="I275" s="294"/>
      <c r="J275" s="295"/>
      <c r="K275" s="296"/>
    </row>
    <row r="276" spans="1:11" ht="84" customHeight="1">
      <c r="A276" s="212" t="s">
        <v>478</v>
      </c>
      <c r="B276" s="194" t="s">
        <v>386</v>
      </c>
      <c r="C276" s="212" t="s">
        <v>253</v>
      </c>
      <c r="D276" s="211">
        <v>2015</v>
      </c>
      <c r="E276" s="85">
        <f>G276+H276</f>
        <v>1888.2</v>
      </c>
      <c r="F276" s="107"/>
      <c r="G276" s="107">
        <v>1788.2</v>
      </c>
      <c r="H276" s="107">
        <v>100</v>
      </c>
      <c r="I276" s="297"/>
      <c r="J276" s="84" t="s">
        <v>362</v>
      </c>
      <c r="K276" s="93" t="s">
        <v>79</v>
      </c>
    </row>
    <row r="277" spans="1:11" ht="87" customHeight="1">
      <c r="A277" s="212" t="s">
        <v>479</v>
      </c>
      <c r="B277" s="194" t="s">
        <v>387</v>
      </c>
      <c r="C277" s="212" t="s">
        <v>253</v>
      </c>
      <c r="D277" s="211">
        <v>2015</v>
      </c>
      <c r="E277" s="85">
        <f>G277+H277</f>
        <v>870.5</v>
      </c>
      <c r="F277" s="107"/>
      <c r="G277" s="107">
        <f>1200-373</f>
        <v>827</v>
      </c>
      <c r="H277" s="107">
        <f>82-38.5</f>
        <v>43.5</v>
      </c>
      <c r="I277" s="297"/>
      <c r="J277" s="84"/>
      <c r="K277" s="93" t="s">
        <v>79</v>
      </c>
    </row>
    <row r="278" spans="1:11" ht="67.5" customHeight="1">
      <c r="A278" s="449" t="s">
        <v>480</v>
      </c>
      <c r="B278" s="438" t="s">
        <v>388</v>
      </c>
      <c r="C278" s="436" t="s">
        <v>253</v>
      </c>
      <c r="D278" s="211">
        <v>2015</v>
      </c>
      <c r="E278" s="85">
        <f>G278+H278</f>
        <v>525</v>
      </c>
      <c r="F278" s="107"/>
      <c r="G278" s="107">
        <v>500</v>
      </c>
      <c r="H278" s="107">
        <v>25</v>
      </c>
      <c r="I278" s="297"/>
      <c r="J278" s="440"/>
      <c r="K278" s="433" t="s">
        <v>79</v>
      </c>
    </row>
    <row r="279" spans="1:11" ht="50.25" customHeight="1" hidden="1">
      <c r="A279" s="450"/>
      <c r="B279" s="451"/>
      <c r="C279" s="446"/>
      <c r="D279" s="465">
        <v>2017</v>
      </c>
      <c r="E279" s="177">
        <f>G279+H279</f>
        <v>7350</v>
      </c>
      <c r="F279" s="298"/>
      <c r="G279" s="196">
        <v>7000</v>
      </c>
      <c r="H279" s="196">
        <v>350</v>
      </c>
      <c r="I279" s="292"/>
      <c r="J279" s="441"/>
      <c r="K279" s="434"/>
    </row>
    <row r="280" spans="1:11" ht="3" customHeight="1">
      <c r="A280" s="299"/>
      <c r="B280" s="300"/>
      <c r="C280" s="299"/>
      <c r="D280" s="469"/>
      <c r="E280" s="301"/>
      <c r="F280" s="298"/>
      <c r="G280" s="298"/>
      <c r="H280" s="298"/>
      <c r="I280" s="292"/>
      <c r="J280" s="471"/>
      <c r="K280" s="435"/>
    </row>
    <row r="281" spans="1:11" ht="1.5" customHeight="1">
      <c r="A281" s="449" t="s">
        <v>431</v>
      </c>
      <c r="B281" s="438" t="s">
        <v>98</v>
      </c>
      <c r="C281" s="436" t="s">
        <v>253</v>
      </c>
      <c r="D281" s="239"/>
      <c r="E281" s="97"/>
      <c r="F281" s="273"/>
      <c r="G281" s="98"/>
      <c r="H281" s="273"/>
      <c r="I281" s="288"/>
      <c r="J281" s="440" t="s">
        <v>362</v>
      </c>
      <c r="K281" s="433" t="s">
        <v>79</v>
      </c>
    </row>
    <row r="282" spans="1:11" ht="66.75" customHeight="1" hidden="1">
      <c r="A282" s="452"/>
      <c r="B282" s="439"/>
      <c r="C282" s="437"/>
      <c r="D282" s="242">
        <v>2017</v>
      </c>
      <c r="E282" s="102">
        <f>G282+H282</f>
        <v>7850</v>
      </c>
      <c r="F282" s="275"/>
      <c r="G282" s="103">
        <v>7500</v>
      </c>
      <c r="H282" s="275">
        <v>350</v>
      </c>
      <c r="I282" s="294"/>
      <c r="J282" s="471"/>
      <c r="K282" s="435"/>
    </row>
    <row r="283" spans="1:11" ht="75" customHeight="1">
      <c r="A283" s="449" t="s">
        <v>510</v>
      </c>
      <c r="B283" s="438" t="s">
        <v>311</v>
      </c>
      <c r="C283" s="436" t="s">
        <v>253</v>
      </c>
      <c r="D283" s="277">
        <v>2015</v>
      </c>
      <c r="E283" s="102">
        <f>G283+H283</f>
        <v>4857</v>
      </c>
      <c r="F283" s="103"/>
      <c r="G283" s="103">
        <f>1500+3125.3</f>
        <v>4625.3</v>
      </c>
      <c r="H283" s="103">
        <v>231.7</v>
      </c>
      <c r="I283" s="294"/>
      <c r="J283" s="84" t="s">
        <v>362</v>
      </c>
      <c r="K283" s="99"/>
    </row>
    <row r="284" spans="1:11" ht="75" customHeight="1" hidden="1">
      <c r="A284" s="452"/>
      <c r="B284" s="439"/>
      <c r="C284" s="437"/>
      <c r="D284" s="211">
        <v>2017</v>
      </c>
      <c r="E284" s="85">
        <f>G284+H284</f>
        <v>3438</v>
      </c>
      <c r="F284" s="107"/>
      <c r="G284" s="107">
        <f>3150+138</f>
        <v>3288</v>
      </c>
      <c r="H284" s="107">
        <v>150</v>
      </c>
      <c r="I284" s="287"/>
      <c r="J284" s="79"/>
      <c r="K284" s="88"/>
    </row>
    <row r="285" spans="1:11" ht="75" customHeight="1" hidden="1">
      <c r="A285" s="229" t="s">
        <v>432</v>
      </c>
      <c r="B285" s="194" t="s">
        <v>389</v>
      </c>
      <c r="C285" s="199" t="s">
        <v>253</v>
      </c>
      <c r="D285" s="211">
        <v>2017</v>
      </c>
      <c r="E285" s="85">
        <f>G285+H285</f>
        <v>10555.1</v>
      </c>
      <c r="F285" s="107"/>
      <c r="G285" s="107">
        <v>10055.1</v>
      </c>
      <c r="H285" s="107">
        <v>500</v>
      </c>
      <c r="I285" s="287"/>
      <c r="J285" s="199" t="s">
        <v>362</v>
      </c>
      <c r="K285" s="199" t="s">
        <v>79</v>
      </c>
    </row>
    <row r="286" spans="1:11" ht="86.25" customHeight="1" hidden="1">
      <c r="A286" s="94" t="s">
        <v>433</v>
      </c>
      <c r="B286" s="194" t="s">
        <v>389</v>
      </c>
      <c r="C286" s="89" t="s">
        <v>253</v>
      </c>
      <c r="D286" s="211">
        <v>2017</v>
      </c>
      <c r="E286" s="85">
        <f>G286+H286</f>
        <v>5463.3</v>
      </c>
      <c r="F286" s="107"/>
      <c r="G286" s="107">
        <v>5163.3</v>
      </c>
      <c r="H286" s="107">
        <f>600-300</f>
        <v>300</v>
      </c>
      <c r="I286" s="287"/>
      <c r="J286" s="84" t="s">
        <v>362</v>
      </c>
      <c r="K286" s="214" t="s">
        <v>79</v>
      </c>
    </row>
    <row r="287" spans="1:11" ht="85.5" customHeight="1">
      <c r="A287" s="229" t="s">
        <v>481</v>
      </c>
      <c r="B287" s="91" t="s">
        <v>370</v>
      </c>
      <c r="C287" s="199" t="s">
        <v>253</v>
      </c>
      <c r="D287" s="211">
        <v>2014</v>
      </c>
      <c r="E287" s="85">
        <f aca="true" t="shared" si="8" ref="E287:E292">G287+H287</f>
        <v>283.6</v>
      </c>
      <c r="F287" s="107"/>
      <c r="G287" s="107">
        <v>268.6</v>
      </c>
      <c r="H287" s="107">
        <v>15</v>
      </c>
      <c r="I287" s="287"/>
      <c r="J287" s="84" t="s">
        <v>362</v>
      </c>
      <c r="K287" s="214" t="s">
        <v>79</v>
      </c>
    </row>
    <row r="288" spans="1:11" ht="77.25" customHeight="1">
      <c r="A288" s="229" t="s">
        <v>482</v>
      </c>
      <c r="B288" s="91" t="s">
        <v>371</v>
      </c>
      <c r="C288" s="199" t="s">
        <v>253</v>
      </c>
      <c r="D288" s="211">
        <v>2015</v>
      </c>
      <c r="E288" s="85">
        <f t="shared" si="8"/>
        <v>2410.2</v>
      </c>
      <c r="F288" s="107"/>
      <c r="G288" s="107">
        <f>2313-23.8</f>
        <v>2289.2</v>
      </c>
      <c r="H288" s="107">
        <v>121</v>
      </c>
      <c r="I288" s="287"/>
      <c r="J288" s="84" t="s">
        <v>362</v>
      </c>
      <c r="K288" s="214" t="s">
        <v>79</v>
      </c>
    </row>
    <row r="289" spans="1:11" ht="72.75" customHeight="1">
      <c r="A289" s="229" t="s">
        <v>483</v>
      </c>
      <c r="B289" s="194" t="s">
        <v>311</v>
      </c>
      <c r="C289" s="199" t="s">
        <v>253</v>
      </c>
      <c r="D289" s="211">
        <v>2015</v>
      </c>
      <c r="E289" s="85">
        <f t="shared" si="8"/>
        <v>2394.3</v>
      </c>
      <c r="F289" s="107"/>
      <c r="G289" s="107">
        <f>2093.8-1219.6+1406.1</f>
        <v>2280.3</v>
      </c>
      <c r="H289" s="107">
        <f>114</f>
        <v>114</v>
      </c>
      <c r="I289" s="287"/>
      <c r="J289" s="84" t="s">
        <v>362</v>
      </c>
      <c r="K289" s="214" t="s">
        <v>79</v>
      </c>
    </row>
    <row r="290" spans="1:11" ht="28.5" customHeight="1" hidden="1">
      <c r="A290" s="449" t="s">
        <v>434</v>
      </c>
      <c r="B290" s="438" t="s">
        <v>376</v>
      </c>
      <c r="C290" s="522" t="s">
        <v>253</v>
      </c>
      <c r="D290" s="239"/>
      <c r="E290" s="97"/>
      <c r="F290" s="273"/>
      <c r="G290" s="98"/>
      <c r="H290" s="273"/>
      <c r="I290" s="288"/>
      <c r="J290" s="267"/>
      <c r="K290" s="93"/>
    </row>
    <row r="291" spans="1:11" ht="80.25" customHeight="1" hidden="1">
      <c r="A291" s="452"/>
      <c r="B291" s="439"/>
      <c r="C291" s="523"/>
      <c r="D291" s="242">
        <v>2017</v>
      </c>
      <c r="E291" s="102">
        <f t="shared" si="8"/>
        <v>3628</v>
      </c>
      <c r="F291" s="275"/>
      <c r="G291" s="103">
        <v>3448</v>
      </c>
      <c r="H291" s="275">
        <v>180</v>
      </c>
      <c r="I291" s="294"/>
      <c r="J291" s="302" t="s">
        <v>362</v>
      </c>
      <c r="K291" s="104" t="s">
        <v>79</v>
      </c>
    </row>
    <row r="292" spans="1:11" ht="79.5" customHeight="1" hidden="1">
      <c r="A292" s="229" t="s">
        <v>435</v>
      </c>
      <c r="B292" s="91" t="s">
        <v>365</v>
      </c>
      <c r="C292" s="199" t="s">
        <v>253</v>
      </c>
      <c r="D292" s="277">
        <v>2017</v>
      </c>
      <c r="E292" s="102">
        <f t="shared" si="8"/>
        <v>5250</v>
      </c>
      <c r="F292" s="103"/>
      <c r="G292" s="103">
        <v>5000</v>
      </c>
      <c r="H292" s="103">
        <v>250</v>
      </c>
      <c r="I292" s="294"/>
      <c r="J292" s="79" t="s">
        <v>362</v>
      </c>
      <c r="K292" s="104" t="s">
        <v>79</v>
      </c>
    </row>
    <row r="293" spans="1:11" ht="78.75" customHeight="1">
      <c r="A293" s="229" t="s">
        <v>484</v>
      </c>
      <c r="B293" s="194" t="s">
        <v>310</v>
      </c>
      <c r="C293" s="199" t="s">
        <v>253</v>
      </c>
      <c r="D293" s="211">
        <v>2015</v>
      </c>
      <c r="E293" s="85">
        <f>G293+H293</f>
        <v>4121.7</v>
      </c>
      <c r="F293" s="107"/>
      <c r="G293" s="107">
        <f>1000+3000</f>
        <v>4000</v>
      </c>
      <c r="H293" s="107">
        <f>50+71.7</f>
        <v>121.7</v>
      </c>
      <c r="I293" s="287"/>
      <c r="J293" s="84"/>
      <c r="K293" s="104" t="s">
        <v>79</v>
      </c>
    </row>
    <row r="294" spans="1:11" ht="17.25" customHeight="1">
      <c r="A294" s="496" t="s">
        <v>240</v>
      </c>
      <c r="B294" s="438"/>
      <c r="C294" s="477"/>
      <c r="D294" s="252">
        <v>2014</v>
      </c>
      <c r="E294" s="85">
        <f>E261+E260+E259+E253+E251+E241+E238+E234+E233+E225+E223+E218+E216+E214+E212+E209+E207+E204+E202+E200+E197+E196+E194+E193+E183+E179+E177+E174+E263+E248+E244+E266+E270+E274+E272+E287</f>
        <v>153674.13999999998</v>
      </c>
      <c r="F294" s="85">
        <f>F261+F260+F259+F253+F251+F241+F238+F234+F233+F225+F223+F218+F216+F214+F212+F209+F207+F204+F202+F200+F197+F196+F194+F193+F183+F179+F177+F174+F263+F248+F244+F266+F270+F274+F272+F287</f>
        <v>0</v>
      </c>
      <c r="G294" s="85">
        <f>G261+G260+G259+G253+G251+G241+G238+G234+G233+G225+G223+G218+G216+G214+G212+G209+G207+G204+G202+G200+G197+G196+G194+G193+G183+G179+G177+G174+G263+G248+G244+G266+G270+G274+G272+G287</f>
        <v>146744.99999999997</v>
      </c>
      <c r="H294" s="85">
        <f>H261+H260+H259+H253+H251+H241+H238+H234+H233+H225+H223+H218+H216+H214+H212+H209+H207+H204+H202+H200+H197+H196+H194+H193+H183+H179+H177+H174+H263+H248+H244+H266+H270+H274+H272+H287</f>
        <v>6929.139999999999</v>
      </c>
      <c r="I294" s="287"/>
      <c r="J294" s="84" t="s">
        <v>288</v>
      </c>
      <c r="K294" s="436"/>
    </row>
    <row r="295" spans="1:12" ht="17.25" customHeight="1">
      <c r="A295" s="497"/>
      <c r="B295" s="451"/>
      <c r="C295" s="513"/>
      <c r="D295" s="252">
        <v>2015</v>
      </c>
      <c r="E295" s="85">
        <f>E175+E178+E180+E186+E189+E195+E198+E205+E213+E215+E217+E219+E224+E226+E227+E230+E235+E236+E239+E246+E249+E254+E264+E252+E242+E184+E192+E262+E245+E269+E208+E276+E277+E278+E210+E288+E283+E289+E201+E257+E293</f>
        <v>131767.8</v>
      </c>
      <c r="F295" s="85">
        <f>F175+F178+F180+F186+F189+F195+F198+F205+F213+F215+F217+F219+F224+F226+F227+F230+F235+F236+F239+F246+F249+F254+F264+F252+F242+F184+F192+F262+F245+F269+F208+F276+F277+F278+F210+F288+F283+F289+F201+F257+F293</f>
        <v>0</v>
      </c>
      <c r="G295" s="85">
        <f>G175+G178+G180+G186+G189+G195+G198+G205+G213+G215+G217+G219+G224+G226+G227+G230+G235+G236+G239+G246+G249+G254+G264+G252+G242+G184+G192+G262+G245+G269+G208+G276+G277+G278+G210+G288+G283+G289+G201+G257+G293</f>
        <v>124973.59999999999</v>
      </c>
      <c r="H295" s="85">
        <f>H175+H178+H180+H186+H189+H195+H198+H205+H213+H215+H217+H219+H224+H226+H227+H230+H235+H236+H239+H246+H249+H254+H264+H252+H242+H184+H192+H262+H245+H269+H208+H276+H277+H278+H210+H288+H283+H289+H201+H257+H293</f>
        <v>6794.2</v>
      </c>
      <c r="I295" s="287"/>
      <c r="J295" s="84" t="s">
        <v>189</v>
      </c>
      <c r="K295" s="446"/>
      <c r="L295" s="49">
        <f>124973.6-G295</f>
        <v>0</v>
      </c>
    </row>
    <row r="296" spans="1:12" ht="17.25" customHeight="1">
      <c r="A296" s="497"/>
      <c r="B296" s="451"/>
      <c r="C296" s="513"/>
      <c r="D296" s="252">
        <v>2016</v>
      </c>
      <c r="E296" s="85">
        <f>G296+H296</f>
        <v>53096.493</v>
      </c>
      <c r="F296" s="85"/>
      <c r="G296" s="85">
        <v>52096.493</v>
      </c>
      <c r="H296" s="85">
        <v>1000</v>
      </c>
      <c r="I296" s="287"/>
      <c r="J296" s="84" t="s">
        <v>190</v>
      </c>
      <c r="K296" s="446"/>
      <c r="L296" s="49"/>
    </row>
    <row r="297" spans="1:11" ht="17.25" customHeight="1">
      <c r="A297" s="497"/>
      <c r="B297" s="451"/>
      <c r="C297" s="513"/>
      <c r="D297" s="252">
        <v>2017</v>
      </c>
      <c r="E297" s="85">
        <f>G297+H297</f>
        <v>113293</v>
      </c>
      <c r="F297" s="303">
        <f>F191+F206+F232+F188+F229+F256+F265+F279+F211+F199+F282+F284+F285+F286+F292+F243+F240+F291+F258</f>
        <v>0</v>
      </c>
      <c r="G297" s="303">
        <v>108500</v>
      </c>
      <c r="H297" s="303">
        <f>H191+H206+H232+H188+H229+H256+H265+H279+H211+H199+H282+H284+H285+H286+H292+H243+H240+H291+H258</f>
        <v>4793</v>
      </c>
      <c r="I297" s="287"/>
      <c r="J297" s="84" t="s">
        <v>511</v>
      </c>
      <c r="K297" s="446"/>
    </row>
    <row r="298" spans="1:11" ht="17.25" customHeight="1">
      <c r="A298" s="627"/>
      <c r="B298" s="439"/>
      <c r="C298" s="478"/>
      <c r="D298" s="304">
        <v>2018</v>
      </c>
      <c r="E298" s="85">
        <f>G298+H298</f>
        <v>114210.5</v>
      </c>
      <c r="F298" s="305"/>
      <c r="G298" s="305">
        <v>108500</v>
      </c>
      <c r="H298" s="305">
        <v>5710.5</v>
      </c>
      <c r="I298" s="294"/>
      <c r="J298" s="79" t="s">
        <v>511</v>
      </c>
      <c r="K298" s="437"/>
    </row>
    <row r="299" spans="1:13" ht="17.25" customHeight="1">
      <c r="A299" s="593" t="s">
        <v>266</v>
      </c>
      <c r="B299" s="594"/>
      <c r="C299" s="594"/>
      <c r="D299" s="594"/>
      <c r="E299" s="594"/>
      <c r="F299" s="594"/>
      <c r="G299" s="594"/>
      <c r="H299" s="594"/>
      <c r="I299" s="594"/>
      <c r="J299" s="594"/>
      <c r="K299" s="595"/>
      <c r="L299" s="47">
        <v>2016</v>
      </c>
      <c r="M299">
        <v>2017</v>
      </c>
    </row>
    <row r="300" spans="1:12" ht="51.75" customHeight="1">
      <c r="A300" s="449" t="s">
        <v>485</v>
      </c>
      <c r="B300" s="438" t="s">
        <v>344</v>
      </c>
      <c r="C300" s="436" t="s">
        <v>253</v>
      </c>
      <c r="D300" s="447">
        <v>2015</v>
      </c>
      <c r="E300" s="442">
        <f>G300+H300</f>
        <v>72099</v>
      </c>
      <c r="F300" s="444"/>
      <c r="G300" s="442">
        <f>11000+57799-15000-25000-3000+43000</f>
        <v>68799</v>
      </c>
      <c r="H300" s="442">
        <f>2000+1400-100</f>
        <v>3300</v>
      </c>
      <c r="I300" s="456"/>
      <c r="J300" s="436"/>
      <c r="K300" s="436" t="s">
        <v>80</v>
      </c>
      <c r="L300" s="49"/>
    </row>
    <row r="301" spans="1:11" ht="30" customHeight="1">
      <c r="A301" s="450"/>
      <c r="B301" s="451"/>
      <c r="C301" s="446"/>
      <c r="D301" s="448"/>
      <c r="E301" s="443"/>
      <c r="F301" s="445"/>
      <c r="G301" s="443"/>
      <c r="H301" s="443"/>
      <c r="I301" s="458"/>
      <c r="J301" s="446"/>
      <c r="K301" s="446"/>
    </row>
    <row r="302" spans="1:11" ht="27.75" customHeight="1" hidden="1">
      <c r="A302" s="452"/>
      <c r="B302" s="439"/>
      <c r="C302" s="437"/>
      <c r="D302" s="211">
        <v>2016</v>
      </c>
      <c r="E302" s="211">
        <f>G302+H302</f>
        <v>0</v>
      </c>
      <c r="F302" s="211"/>
      <c r="G302" s="211">
        <v>0</v>
      </c>
      <c r="H302" s="211">
        <v>0</v>
      </c>
      <c r="I302" s="211"/>
      <c r="J302" s="437"/>
      <c r="K302" s="437"/>
    </row>
    <row r="303" spans="1:11" ht="17.25" customHeight="1">
      <c r="A303" s="449" t="s">
        <v>486</v>
      </c>
      <c r="B303" s="438" t="s">
        <v>347</v>
      </c>
      <c r="C303" s="436" t="s">
        <v>253</v>
      </c>
      <c r="D303" s="447">
        <v>2015</v>
      </c>
      <c r="E303" s="442">
        <f>G303+H303</f>
        <v>21651</v>
      </c>
      <c r="F303" s="444"/>
      <c r="G303" s="442">
        <f>10000+15000+25000-28849</f>
        <v>21151</v>
      </c>
      <c r="H303" s="442">
        <v>500</v>
      </c>
      <c r="I303" s="92"/>
      <c r="J303" s="436"/>
      <c r="K303" s="433" t="s">
        <v>80</v>
      </c>
    </row>
    <row r="304" spans="1:11" ht="66" customHeight="1">
      <c r="A304" s="450"/>
      <c r="B304" s="451"/>
      <c r="C304" s="446"/>
      <c r="D304" s="448"/>
      <c r="E304" s="443"/>
      <c r="F304" s="445"/>
      <c r="G304" s="443"/>
      <c r="H304" s="443"/>
      <c r="I304" s="103"/>
      <c r="J304" s="446"/>
      <c r="K304" s="434"/>
    </row>
    <row r="305" spans="1:11" ht="47.25" customHeight="1" hidden="1">
      <c r="A305" s="450"/>
      <c r="B305" s="451"/>
      <c r="C305" s="446"/>
      <c r="D305" s="277">
        <v>2016</v>
      </c>
      <c r="E305" s="306">
        <f aca="true" t="shared" si="9" ref="E305:E312">G305+H305</f>
        <v>19000</v>
      </c>
      <c r="F305" s="103"/>
      <c r="G305" s="103">
        <f>106708-88708</f>
        <v>18000</v>
      </c>
      <c r="H305" s="103">
        <f>2000-1000</f>
        <v>1000</v>
      </c>
      <c r="I305" s="275"/>
      <c r="J305" s="446"/>
      <c r="K305" s="434"/>
    </row>
    <row r="306" spans="1:12" ht="30.75" customHeight="1" hidden="1">
      <c r="A306" s="452"/>
      <c r="B306" s="439"/>
      <c r="C306" s="437"/>
      <c r="D306" s="277">
        <v>2017</v>
      </c>
      <c r="E306" s="306">
        <f t="shared" si="9"/>
        <v>71000</v>
      </c>
      <c r="F306" s="103"/>
      <c r="G306" s="103">
        <v>70000</v>
      </c>
      <c r="H306" s="103">
        <v>1000</v>
      </c>
      <c r="I306" s="275"/>
      <c r="J306" s="437"/>
      <c r="K306" s="435"/>
      <c r="L306" s="47">
        <v>150</v>
      </c>
    </row>
    <row r="307" spans="1:11" ht="62.25" customHeight="1">
      <c r="A307" s="449" t="s">
        <v>487</v>
      </c>
      <c r="B307" s="438" t="s">
        <v>348</v>
      </c>
      <c r="C307" s="436" t="s">
        <v>253</v>
      </c>
      <c r="D307" s="221">
        <v>2014</v>
      </c>
      <c r="E307" s="305">
        <f t="shared" si="9"/>
        <v>1050</v>
      </c>
      <c r="F307" s="305"/>
      <c r="G307" s="305">
        <f>17526-16526</f>
        <v>1000</v>
      </c>
      <c r="H307" s="305">
        <f>974-874-50</f>
        <v>50</v>
      </c>
      <c r="I307" s="103"/>
      <c r="J307" s="436" t="s">
        <v>69</v>
      </c>
      <c r="K307" s="433" t="s">
        <v>80</v>
      </c>
    </row>
    <row r="308" spans="1:11" ht="20.25" customHeight="1">
      <c r="A308" s="452"/>
      <c r="B308" s="439"/>
      <c r="C308" s="437"/>
      <c r="D308" s="221">
        <v>2015</v>
      </c>
      <c r="E308" s="305">
        <f t="shared" si="9"/>
        <v>14773.9</v>
      </c>
      <c r="F308" s="305"/>
      <c r="G308" s="305">
        <f>12000+895.3+1000</f>
        <v>13895.3</v>
      </c>
      <c r="H308" s="307">
        <f>678.6+200</f>
        <v>878.6</v>
      </c>
      <c r="I308" s="216"/>
      <c r="J308" s="437"/>
      <c r="K308" s="435"/>
    </row>
    <row r="309" spans="1:11" ht="75.75" customHeight="1">
      <c r="A309" s="449" t="s">
        <v>572</v>
      </c>
      <c r="B309" s="438" t="s">
        <v>349</v>
      </c>
      <c r="C309" s="436" t="s">
        <v>253</v>
      </c>
      <c r="D309" s="220">
        <v>2015</v>
      </c>
      <c r="E309" s="308">
        <f t="shared" si="9"/>
        <v>3725.1</v>
      </c>
      <c r="F309" s="308"/>
      <c r="G309" s="308">
        <f>30000-27000+538</f>
        <v>3538</v>
      </c>
      <c r="H309" s="309">
        <v>187.1</v>
      </c>
      <c r="I309" s="310"/>
      <c r="J309" s="436"/>
      <c r="K309" s="433" t="s">
        <v>80</v>
      </c>
    </row>
    <row r="310" spans="1:11" ht="21.75" customHeight="1" hidden="1">
      <c r="A310" s="450"/>
      <c r="B310" s="451"/>
      <c r="C310" s="446"/>
      <c r="D310" s="220">
        <v>2016</v>
      </c>
      <c r="E310" s="308">
        <f t="shared" si="9"/>
        <v>5750</v>
      </c>
      <c r="F310" s="220"/>
      <c r="G310" s="220">
        <v>5000</v>
      </c>
      <c r="H310" s="220">
        <v>750</v>
      </c>
      <c r="I310" s="220"/>
      <c r="J310" s="446"/>
      <c r="K310" s="434"/>
    </row>
    <row r="311" spans="1:11" ht="23.25" customHeight="1" hidden="1">
      <c r="A311" s="452"/>
      <c r="B311" s="439"/>
      <c r="C311" s="437"/>
      <c r="D311" s="220">
        <v>2017</v>
      </c>
      <c r="E311" s="308">
        <f t="shared" si="9"/>
        <v>10500</v>
      </c>
      <c r="F311" s="220"/>
      <c r="G311" s="220">
        <v>10000</v>
      </c>
      <c r="H311" s="220">
        <v>500</v>
      </c>
      <c r="I311" s="228"/>
      <c r="J311" s="437"/>
      <c r="K311" s="435"/>
    </row>
    <row r="312" spans="1:11" ht="64.5" customHeight="1">
      <c r="A312" s="449" t="s">
        <v>575</v>
      </c>
      <c r="B312" s="596" t="s">
        <v>351</v>
      </c>
      <c r="C312" s="522" t="s">
        <v>253</v>
      </c>
      <c r="D312" s="179">
        <v>2015</v>
      </c>
      <c r="E312" s="303">
        <f t="shared" si="9"/>
        <v>2100</v>
      </c>
      <c r="F312" s="303"/>
      <c r="G312" s="303">
        <f>6243-4243</f>
        <v>2000</v>
      </c>
      <c r="H312" s="303">
        <v>100</v>
      </c>
      <c r="I312" s="107"/>
      <c r="J312" s="535"/>
      <c r="K312" s="189" t="s">
        <v>80</v>
      </c>
    </row>
    <row r="313" spans="1:11" ht="21.75" customHeight="1" hidden="1">
      <c r="A313" s="450"/>
      <c r="B313" s="597"/>
      <c r="C313" s="501"/>
      <c r="D313" s="311"/>
      <c r="E313" s="312"/>
      <c r="F313" s="312"/>
      <c r="G313" s="312"/>
      <c r="H313" s="312"/>
      <c r="I313" s="281"/>
      <c r="J313" s="536"/>
      <c r="K313" s="606"/>
    </row>
    <row r="314" spans="1:13" ht="58.5" customHeight="1" hidden="1">
      <c r="A314" s="450"/>
      <c r="B314" s="597"/>
      <c r="C314" s="501"/>
      <c r="D314" s="220">
        <v>2017</v>
      </c>
      <c r="E314" s="308">
        <f aca="true" t="shared" si="10" ref="E314:E320">G314+H314</f>
        <v>10500</v>
      </c>
      <c r="F314" s="308"/>
      <c r="G314" s="308">
        <v>10000</v>
      </c>
      <c r="H314" s="308">
        <v>500</v>
      </c>
      <c r="I314" s="98"/>
      <c r="J314" s="536"/>
      <c r="K314" s="606"/>
      <c r="M314">
        <v>140</v>
      </c>
    </row>
    <row r="315" spans="1:13" ht="46.5" customHeight="1">
      <c r="A315" s="573" t="s">
        <v>488</v>
      </c>
      <c r="B315" s="438" t="s">
        <v>350</v>
      </c>
      <c r="C315" s="607" t="s">
        <v>253</v>
      </c>
      <c r="D315" s="179">
        <v>2014</v>
      </c>
      <c r="E315" s="313">
        <f t="shared" si="10"/>
        <v>6195</v>
      </c>
      <c r="F315" s="303"/>
      <c r="G315" s="313">
        <f>5900</f>
        <v>5900</v>
      </c>
      <c r="H315" s="303">
        <v>295</v>
      </c>
      <c r="I315" s="314"/>
      <c r="J315" s="522"/>
      <c r="K315" s="87" t="s">
        <v>80</v>
      </c>
      <c r="L315" s="52"/>
      <c r="M315" s="19"/>
    </row>
    <row r="316" spans="1:13" ht="21.75" customHeight="1">
      <c r="A316" s="574"/>
      <c r="B316" s="451"/>
      <c r="C316" s="608"/>
      <c r="D316" s="179">
        <v>2015</v>
      </c>
      <c r="E316" s="313">
        <f>G316+H316</f>
        <v>250</v>
      </c>
      <c r="F316" s="303"/>
      <c r="G316" s="313"/>
      <c r="H316" s="303">
        <v>250</v>
      </c>
      <c r="I316" s="314"/>
      <c r="J316" s="501"/>
      <c r="K316" s="89"/>
      <c r="L316" s="52"/>
      <c r="M316" s="19"/>
    </row>
    <row r="317" spans="1:13" ht="21.75" customHeight="1" hidden="1">
      <c r="A317" s="574"/>
      <c r="B317" s="451"/>
      <c r="C317" s="608"/>
      <c r="D317" s="209">
        <v>2016</v>
      </c>
      <c r="E317" s="312">
        <f t="shared" si="10"/>
        <v>31500</v>
      </c>
      <c r="F317" s="173"/>
      <c r="G317" s="312">
        <v>30000</v>
      </c>
      <c r="H317" s="173">
        <v>1500</v>
      </c>
      <c r="I317" s="281"/>
      <c r="J317" s="501"/>
      <c r="K317" s="89"/>
      <c r="L317" s="52"/>
      <c r="M317" s="19"/>
    </row>
    <row r="318" spans="1:13" ht="21.75" customHeight="1" hidden="1">
      <c r="A318" s="180"/>
      <c r="B318" s="439"/>
      <c r="C318" s="315"/>
      <c r="D318" s="179">
        <v>2017</v>
      </c>
      <c r="E318" s="313">
        <f t="shared" si="10"/>
        <v>25200</v>
      </c>
      <c r="F318" s="303"/>
      <c r="G318" s="313">
        <v>24000</v>
      </c>
      <c r="H318" s="303">
        <v>1200</v>
      </c>
      <c r="I318" s="314"/>
      <c r="J318" s="316"/>
      <c r="K318" s="88"/>
      <c r="L318" s="52"/>
      <c r="M318" s="19"/>
    </row>
    <row r="319" spans="1:13" ht="21.75" customHeight="1">
      <c r="A319" s="524" t="s">
        <v>489</v>
      </c>
      <c r="B319" s="516" t="s">
        <v>90</v>
      </c>
      <c r="C319" s="525" t="s">
        <v>253</v>
      </c>
      <c r="D319" s="209">
        <v>2014</v>
      </c>
      <c r="E319" s="173">
        <f t="shared" si="10"/>
        <v>149</v>
      </c>
      <c r="F319" s="173"/>
      <c r="G319" s="173">
        <v>139</v>
      </c>
      <c r="H319" s="173">
        <v>10</v>
      </c>
      <c r="I319" s="310"/>
      <c r="J319" s="525"/>
      <c r="K319" s="568" t="s">
        <v>80</v>
      </c>
      <c r="L319" s="52"/>
      <c r="M319" s="19"/>
    </row>
    <row r="320" spans="1:13" s="33" customFormat="1" ht="17.25" customHeight="1">
      <c r="A320" s="524"/>
      <c r="B320" s="516"/>
      <c r="C320" s="525"/>
      <c r="D320" s="531">
        <v>2015</v>
      </c>
      <c r="E320" s="453">
        <f t="shared" si="10"/>
        <v>2070.1</v>
      </c>
      <c r="F320" s="453"/>
      <c r="G320" s="453">
        <f>3000-1029.9</f>
        <v>1970.1</v>
      </c>
      <c r="H320" s="453">
        <v>100</v>
      </c>
      <c r="I320" s="456"/>
      <c r="J320" s="525"/>
      <c r="K320" s="568"/>
      <c r="L320" s="55"/>
      <c r="M320" s="28"/>
    </row>
    <row r="321" spans="1:13" s="33" customFormat="1" ht="28.5" customHeight="1">
      <c r="A321" s="524"/>
      <c r="B321" s="516"/>
      <c r="C321" s="525"/>
      <c r="D321" s="532"/>
      <c r="E321" s="455"/>
      <c r="F321" s="455"/>
      <c r="G321" s="455"/>
      <c r="H321" s="455"/>
      <c r="I321" s="458"/>
      <c r="J321" s="525"/>
      <c r="K321" s="568"/>
      <c r="L321" s="55"/>
      <c r="M321" s="28"/>
    </row>
    <row r="322" spans="1:13" ht="17.25" customHeight="1">
      <c r="A322" s="449" t="s">
        <v>581</v>
      </c>
      <c r="B322" s="438" t="s">
        <v>534</v>
      </c>
      <c r="C322" s="436" t="s">
        <v>253</v>
      </c>
      <c r="D322" s="174">
        <v>2014</v>
      </c>
      <c r="E322" s="308">
        <f>G322+H322</f>
        <v>2376</v>
      </c>
      <c r="F322" s="308"/>
      <c r="G322" s="308">
        <f>4771-2495</f>
        <v>2276</v>
      </c>
      <c r="H322" s="308">
        <v>100</v>
      </c>
      <c r="I322" s="92"/>
      <c r="J322" s="436"/>
      <c r="K322" s="87" t="s">
        <v>80</v>
      </c>
      <c r="L322" s="52"/>
      <c r="M322" s="19"/>
    </row>
    <row r="323" spans="1:13" ht="25.5" customHeight="1">
      <c r="A323" s="450"/>
      <c r="B323" s="451"/>
      <c r="C323" s="501"/>
      <c r="D323" s="228">
        <v>2015</v>
      </c>
      <c r="E323" s="308">
        <f>F323+G323+H323</f>
        <v>576.4</v>
      </c>
      <c r="F323" s="317"/>
      <c r="G323" s="308">
        <v>546.4</v>
      </c>
      <c r="H323" s="317">
        <v>30</v>
      </c>
      <c r="I323" s="98"/>
      <c r="J323" s="536"/>
      <c r="K323" s="89"/>
      <c r="L323" s="52"/>
      <c r="M323" s="19"/>
    </row>
    <row r="324" spans="1:13" ht="13.5" customHeight="1">
      <c r="A324" s="452"/>
      <c r="B324" s="439"/>
      <c r="C324" s="523"/>
      <c r="D324" s="318"/>
      <c r="E324" s="305"/>
      <c r="F324" s="319"/>
      <c r="G324" s="305"/>
      <c r="H324" s="319"/>
      <c r="I324" s="103"/>
      <c r="J324" s="563"/>
      <c r="K324" s="299"/>
      <c r="L324" s="52"/>
      <c r="M324" s="19"/>
    </row>
    <row r="325" spans="1:11" ht="77.25" customHeight="1">
      <c r="A325" s="449" t="s">
        <v>490</v>
      </c>
      <c r="B325" s="438" t="s">
        <v>99</v>
      </c>
      <c r="C325" s="89" t="s">
        <v>253</v>
      </c>
      <c r="D325" s="183">
        <v>2015</v>
      </c>
      <c r="E325" s="305">
        <f>G325+H325</f>
        <v>4200</v>
      </c>
      <c r="F325" s="305"/>
      <c r="G325" s="305">
        <f>5000-1000</f>
        <v>4000</v>
      </c>
      <c r="H325" s="305">
        <v>200</v>
      </c>
      <c r="I325" s="222"/>
      <c r="J325" s="436"/>
      <c r="K325" s="188" t="s">
        <v>80</v>
      </c>
    </row>
    <row r="326" spans="1:11" ht="29.25" customHeight="1" hidden="1">
      <c r="A326" s="450"/>
      <c r="B326" s="451"/>
      <c r="C326" s="89"/>
      <c r="D326" s="170"/>
      <c r="E326" s="303"/>
      <c r="F326" s="303"/>
      <c r="G326" s="303"/>
      <c r="H326" s="303"/>
      <c r="I326" s="216"/>
      <c r="J326" s="446"/>
      <c r="K326" s="188"/>
    </row>
    <row r="327" spans="1:11" ht="29.25" customHeight="1" hidden="1">
      <c r="A327" s="452"/>
      <c r="B327" s="439"/>
      <c r="C327" s="89"/>
      <c r="D327" s="174">
        <v>2016</v>
      </c>
      <c r="E327" s="308">
        <f>G327+H327</f>
        <v>5250</v>
      </c>
      <c r="F327" s="308"/>
      <c r="G327" s="308">
        <v>5000</v>
      </c>
      <c r="H327" s="309">
        <v>250</v>
      </c>
      <c r="I327" s="107"/>
      <c r="J327" s="437"/>
      <c r="K327" s="188"/>
    </row>
    <row r="328" spans="1:11" ht="84.75" customHeight="1">
      <c r="A328" s="449" t="s">
        <v>491</v>
      </c>
      <c r="B328" s="438" t="s">
        <v>37</v>
      </c>
      <c r="C328" s="436" t="s">
        <v>253</v>
      </c>
      <c r="D328" s="220">
        <v>2015</v>
      </c>
      <c r="E328" s="308">
        <f aca="true" t="shared" si="11" ref="E328:E333">G328+H328</f>
        <v>10500</v>
      </c>
      <c r="F328" s="308"/>
      <c r="G328" s="308">
        <f>20000-10000-5000+5000</f>
        <v>10000</v>
      </c>
      <c r="H328" s="309">
        <f>1000-500</f>
        <v>500</v>
      </c>
      <c r="I328" s="310"/>
      <c r="J328" s="436"/>
      <c r="K328" s="433" t="s">
        <v>80</v>
      </c>
    </row>
    <row r="329" spans="1:11" ht="30" customHeight="1" hidden="1">
      <c r="A329" s="450"/>
      <c r="B329" s="451"/>
      <c r="C329" s="446"/>
      <c r="D329" s="220">
        <v>2016</v>
      </c>
      <c r="E329" s="308">
        <f t="shared" si="11"/>
        <v>16065</v>
      </c>
      <c r="F329" s="220"/>
      <c r="G329" s="220">
        <v>15215</v>
      </c>
      <c r="H329" s="220">
        <v>850</v>
      </c>
      <c r="I329" s="220"/>
      <c r="J329" s="446"/>
      <c r="K329" s="434"/>
    </row>
    <row r="330" spans="1:11" ht="30" customHeight="1" hidden="1">
      <c r="A330" s="452"/>
      <c r="B330" s="439"/>
      <c r="C330" s="437"/>
      <c r="D330" s="220">
        <v>2017</v>
      </c>
      <c r="E330" s="308">
        <f t="shared" si="11"/>
        <v>10715</v>
      </c>
      <c r="F330" s="220"/>
      <c r="G330" s="220">
        <v>10215</v>
      </c>
      <c r="H330" s="220">
        <v>500</v>
      </c>
      <c r="I330" s="228"/>
      <c r="J330" s="437"/>
      <c r="K330" s="435"/>
    </row>
    <row r="331" spans="1:11" ht="29.25" customHeight="1" hidden="1">
      <c r="A331" s="449" t="s">
        <v>395</v>
      </c>
      <c r="B331" s="438" t="s">
        <v>38</v>
      </c>
      <c r="C331" s="436" t="s">
        <v>253</v>
      </c>
      <c r="D331" s="170">
        <v>2016</v>
      </c>
      <c r="E331" s="303">
        <f t="shared" si="11"/>
        <v>13000</v>
      </c>
      <c r="F331" s="303"/>
      <c r="G331" s="303">
        <v>10000</v>
      </c>
      <c r="H331" s="303">
        <v>3000</v>
      </c>
      <c r="I331" s="216"/>
      <c r="J331" s="436"/>
      <c r="K331" s="436" t="s">
        <v>80</v>
      </c>
    </row>
    <row r="332" spans="1:11" ht="49.5" customHeight="1" hidden="1">
      <c r="A332" s="452"/>
      <c r="B332" s="439"/>
      <c r="C332" s="437"/>
      <c r="D332" s="170">
        <v>2017</v>
      </c>
      <c r="E332" s="303">
        <f t="shared" si="11"/>
        <v>21750</v>
      </c>
      <c r="F332" s="303"/>
      <c r="G332" s="303">
        <v>20000</v>
      </c>
      <c r="H332" s="303">
        <v>1750</v>
      </c>
      <c r="I332" s="216"/>
      <c r="J332" s="437"/>
      <c r="K332" s="437"/>
    </row>
    <row r="333" spans="1:13" ht="76.5" customHeight="1">
      <c r="A333" s="575" t="s">
        <v>492</v>
      </c>
      <c r="B333" s="438" t="s">
        <v>370</v>
      </c>
      <c r="C333" s="436" t="s">
        <v>253</v>
      </c>
      <c r="D333" s="170">
        <v>2015</v>
      </c>
      <c r="E333" s="303">
        <f t="shared" si="11"/>
        <v>5750</v>
      </c>
      <c r="F333" s="303"/>
      <c r="G333" s="303">
        <f>15000-10000</f>
        <v>5000</v>
      </c>
      <c r="H333" s="303">
        <v>750</v>
      </c>
      <c r="I333" s="216"/>
      <c r="J333" s="436"/>
      <c r="K333" s="436" t="s">
        <v>80</v>
      </c>
      <c r="M333">
        <v>150</v>
      </c>
    </row>
    <row r="334" spans="1:11" ht="29.25" customHeight="1" hidden="1">
      <c r="A334" s="576"/>
      <c r="B334" s="451"/>
      <c r="C334" s="446"/>
      <c r="D334" s="170">
        <v>2016</v>
      </c>
      <c r="E334" s="303">
        <f>G334+H334+F334</f>
        <v>47263</v>
      </c>
      <c r="F334" s="303">
        <v>13263</v>
      </c>
      <c r="G334" s="303">
        <v>32500</v>
      </c>
      <c r="H334" s="303">
        <v>1500</v>
      </c>
      <c r="I334" s="216"/>
      <c r="J334" s="446"/>
      <c r="K334" s="446"/>
    </row>
    <row r="335" spans="1:11" ht="29.25" customHeight="1" hidden="1">
      <c r="A335" s="577"/>
      <c r="B335" s="439"/>
      <c r="C335" s="437"/>
      <c r="D335" s="170">
        <v>2017</v>
      </c>
      <c r="E335" s="303">
        <f>G335+H335+F335</f>
        <v>47263</v>
      </c>
      <c r="F335" s="303">
        <v>13263</v>
      </c>
      <c r="G335" s="303">
        <v>32500</v>
      </c>
      <c r="H335" s="303">
        <v>1500</v>
      </c>
      <c r="I335" s="216"/>
      <c r="J335" s="437"/>
      <c r="K335" s="437"/>
    </row>
    <row r="336" spans="1:11" ht="82.5" customHeight="1">
      <c r="A336" s="575" t="s">
        <v>493</v>
      </c>
      <c r="B336" s="438" t="s">
        <v>340</v>
      </c>
      <c r="C336" s="87" t="s">
        <v>253</v>
      </c>
      <c r="D336" s="170">
        <v>2015</v>
      </c>
      <c r="E336" s="303">
        <f>F336+G336+H336</f>
        <v>3100</v>
      </c>
      <c r="F336" s="303"/>
      <c r="G336" s="303">
        <v>3000</v>
      </c>
      <c r="H336" s="303">
        <v>100</v>
      </c>
      <c r="I336" s="216"/>
      <c r="J336" s="436"/>
      <c r="K336" s="436" t="s">
        <v>80</v>
      </c>
    </row>
    <row r="337" spans="1:11" ht="15" hidden="1">
      <c r="A337" s="577"/>
      <c r="B337" s="439"/>
      <c r="C337" s="88"/>
      <c r="D337" s="170">
        <v>2016</v>
      </c>
      <c r="E337" s="303">
        <f>G337+H337</f>
        <v>9785</v>
      </c>
      <c r="F337" s="303"/>
      <c r="G337" s="303">
        <v>9285</v>
      </c>
      <c r="H337" s="303">
        <v>500</v>
      </c>
      <c r="I337" s="216"/>
      <c r="J337" s="437"/>
      <c r="K337" s="437"/>
    </row>
    <row r="338" spans="1:12" ht="18" customHeight="1">
      <c r="A338" s="567" t="s">
        <v>70</v>
      </c>
      <c r="B338" s="601"/>
      <c r="C338" s="604"/>
      <c r="D338" s="201">
        <v>2014</v>
      </c>
      <c r="E338" s="303">
        <f>E307+E315+E322+E319</f>
        <v>9770</v>
      </c>
      <c r="F338" s="303">
        <f>F307+F315+F322+F319</f>
        <v>0</v>
      </c>
      <c r="G338" s="303">
        <f>G307+G315+G322+G319</f>
        <v>9315</v>
      </c>
      <c r="H338" s="303">
        <f>H307+H315+H322+H319</f>
        <v>455</v>
      </c>
      <c r="I338" s="107"/>
      <c r="J338" s="199"/>
      <c r="K338" s="214"/>
      <c r="L338" s="49"/>
    </row>
    <row r="339" spans="1:14" ht="66.75" customHeight="1">
      <c r="A339" s="567"/>
      <c r="B339" s="602"/>
      <c r="C339" s="604"/>
      <c r="D339" s="201">
        <v>2015</v>
      </c>
      <c r="E339" s="303">
        <f>E300+E308+E309+E312+E320+E325+E328+E303+E333+E336+E323+E316</f>
        <v>140795.5</v>
      </c>
      <c r="F339" s="303">
        <f>F300+F308+F309+F312+F320+F325+F328+F304+F333+F336+F323+F316</f>
        <v>0</v>
      </c>
      <c r="G339" s="303">
        <f>G300+G308+G309+G312+G320+G325+G328+G303+G333+G336+G323+G316</f>
        <v>133899.80000000002</v>
      </c>
      <c r="H339" s="303">
        <f>H300+H308+H309+H312+H320+H325+H328+H303+H333+H336+H323+H316</f>
        <v>6895.700000000001</v>
      </c>
      <c r="I339" s="107"/>
      <c r="J339" s="199" t="s">
        <v>523</v>
      </c>
      <c r="K339" s="135"/>
      <c r="N339">
        <f>150+273</f>
        <v>423</v>
      </c>
    </row>
    <row r="340" spans="1:13" ht="17.25" customHeight="1">
      <c r="A340" s="567"/>
      <c r="B340" s="602"/>
      <c r="C340" s="604"/>
      <c r="D340" s="201">
        <v>2016</v>
      </c>
      <c r="E340" s="303">
        <f>F340+G340+H340</f>
        <v>182613</v>
      </c>
      <c r="F340" s="303">
        <f>F302+F310+F317+F329+F331+F305+F334+F327+F337</f>
        <v>13263</v>
      </c>
      <c r="G340" s="303">
        <v>160000</v>
      </c>
      <c r="H340" s="303">
        <f>H302+H310+H317+H329+H331+H305+H334+H327+H337</f>
        <v>9350</v>
      </c>
      <c r="I340" s="107"/>
      <c r="J340" s="179" t="s">
        <v>526</v>
      </c>
      <c r="K340" s="135"/>
      <c r="L340" s="71">
        <f>SUM(L300:L339)</f>
        <v>150</v>
      </c>
      <c r="M340" s="71">
        <f>SUM(M300:M339)</f>
        <v>290</v>
      </c>
    </row>
    <row r="341" spans="1:12" ht="17.25" customHeight="1">
      <c r="A341" s="567"/>
      <c r="B341" s="602"/>
      <c r="C341" s="604"/>
      <c r="D341" s="201">
        <v>2017</v>
      </c>
      <c r="E341" s="303">
        <f>F341+G341+H341</f>
        <v>221673</v>
      </c>
      <c r="F341" s="303">
        <f>F311+F314+F324+F330+F332+F306+F335+F318</f>
        <v>13263</v>
      </c>
      <c r="G341" s="303">
        <v>201460</v>
      </c>
      <c r="H341" s="303">
        <f>H311+H314+H324+H330+H332+H306+H335+H318</f>
        <v>6950</v>
      </c>
      <c r="I341" s="107"/>
      <c r="J341" s="179" t="s">
        <v>151</v>
      </c>
      <c r="K341" s="135"/>
      <c r="L341" s="49"/>
    </row>
    <row r="342" spans="1:11" ht="17.25" customHeight="1">
      <c r="A342" s="497" t="s">
        <v>4</v>
      </c>
      <c r="B342" s="461"/>
      <c r="C342" s="586"/>
      <c r="D342" s="320">
        <v>2014</v>
      </c>
      <c r="E342" s="305">
        <f aca="true" t="shared" si="12" ref="E342:H343">E294+E338</f>
        <v>163444.13999999998</v>
      </c>
      <c r="F342" s="305">
        <f t="shared" si="12"/>
        <v>0</v>
      </c>
      <c r="G342" s="305">
        <f t="shared" si="12"/>
        <v>156059.99999999997</v>
      </c>
      <c r="H342" s="305">
        <f t="shared" si="12"/>
        <v>7384.139999999999</v>
      </c>
      <c r="I342" s="103"/>
      <c r="J342" s="88" t="s">
        <v>288</v>
      </c>
      <c r="K342" s="547"/>
    </row>
    <row r="343" spans="1:11" ht="63.75">
      <c r="A343" s="497"/>
      <c r="B343" s="461"/>
      <c r="C343" s="586"/>
      <c r="D343" s="201">
        <v>2015</v>
      </c>
      <c r="E343" s="303">
        <f t="shared" si="12"/>
        <v>272563.3</v>
      </c>
      <c r="F343" s="303">
        <f t="shared" si="12"/>
        <v>0</v>
      </c>
      <c r="G343" s="303">
        <f t="shared" si="12"/>
        <v>258873.40000000002</v>
      </c>
      <c r="H343" s="303">
        <f t="shared" si="12"/>
        <v>13689.900000000001</v>
      </c>
      <c r="I343" s="107"/>
      <c r="J343" s="199" t="s">
        <v>535</v>
      </c>
      <c r="K343" s="547"/>
    </row>
    <row r="344" spans="1:11" ht="33" customHeight="1">
      <c r="A344" s="497"/>
      <c r="B344" s="461"/>
      <c r="C344" s="586"/>
      <c r="D344" s="201">
        <v>2016</v>
      </c>
      <c r="E344" s="303">
        <f>E340+E296</f>
        <v>235709.49300000002</v>
      </c>
      <c r="F344" s="303">
        <f>F340+F296</f>
        <v>13263</v>
      </c>
      <c r="G344" s="303">
        <f>G340+G296</f>
        <v>212096.49300000002</v>
      </c>
      <c r="H344" s="303">
        <f>H340+H296</f>
        <v>10350</v>
      </c>
      <c r="I344" s="107"/>
      <c r="J344" s="199" t="s">
        <v>536</v>
      </c>
      <c r="K344" s="547"/>
    </row>
    <row r="345" spans="1:11" ht="33" customHeight="1">
      <c r="A345" s="497"/>
      <c r="B345" s="461"/>
      <c r="C345" s="586"/>
      <c r="D345" s="201">
        <v>2017</v>
      </c>
      <c r="E345" s="303">
        <f>E297+E341</f>
        <v>334966</v>
      </c>
      <c r="F345" s="303">
        <f>F297+F341</f>
        <v>13263</v>
      </c>
      <c r="G345" s="303">
        <f>G297+G341</f>
        <v>309960</v>
      </c>
      <c r="H345" s="303">
        <f>H297+H341</f>
        <v>11743</v>
      </c>
      <c r="I345" s="107"/>
      <c r="J345" s="199" t="s">
        <v>152</v>
      </c>
      <c r="K345" s="547"/>
    </row>
    <row r="346" spans="1:11" ht="33" customHeight="1" thickBot="1">
      <c r="A346" s="572"/>
      <c r="B346" s="605"/>
      <c r="C346" s="587"/>
      <c r="D346" s="204">
        <v>2018</v>
      </c>
      <c r="E346" s="321">
        <f>E298</f>
        <v>114210.5</v>
      </c>
      <c r="F346" s="321">
        <f>F298</f>
        <v>0</v>
      </c>
      <c r="G346" s="321">
        <f>G298</f>
        <v>108500</v>
      </c>
      <c r="H346" s="321">
        <f>H298</f>
        <v>5710.5</v>
      </c>
      <c r="I346" s="232"/>
      <c r="J346" s="78" t="s">
        <v>189</v>
      </c>
      <c r="K346" s="611"/>
    </row>
    <row r="347" spans="1:17" s="19" customFormat="1" ht="21" customHeight="1" thickTop="1">
      <c r="A347" s="505" t="s">
        <v>505</v>
      </c>
      <c r="B347" s="506"/>
      <c r="C347" s="506"/>
      <c r="D347" s="506"/>
      <c r="E347" s="506"/>
      <c r="F347" s="506"/>
      <c r="G347" s="506"/>
      <c r="H347" s="506"/>
      <c r="I347" s="506"/>
      <c r="J347" s="506"/>
      <c r="K347" s="507"/>
      <c r="L347" s="52"/>
      <c r="N347" s="26"/>
      <c r="O347" s="20"/>
      <c r="Q347" s="26"/>
    </row>
    <row r="348" spans="1:15" s="19" customFormat="1" ht="95.25" customHeight="1">
      <c r="A348" s="299" t="s">
        <v>5</v>
      </c>
      <c r="B348" s="101" t="s">
        <v>298</v>
      </c>
      <c r="C348" s="88" t="s">
        <v>253</v>
      </c>
      <c r="D348" s="79">
        <v>2014</v>
      </c>
      <c r="E348" s="102">
        <f>G348+H348+I348+F348</f>
        <v>3036</v>
      </c>
      <c r="F348" s="102"/>
      <c r="G348" s="102">
        <v>2886</v>
      </c>
      <c r="H348" s="102">
        <v>150</v>
      </c>
      <c r="I348" s="102"/>
      <c r="J348" s="104" t="s">
        <v>6</v>
      </c>
      <c r="K348" s="89" t="s">
        <v>82</v>
      </c>
      <c r="L348" s="56"/>
      <c r="O348" s="20"/>
    </row>
    <row r="349" spans="1:15" s="19" customFormat="1" ht="41.25" customHeight="1">
      <c r="A349" s="449" t="s">
        <v>241</v>
      </c>
      <c r="B349" s="438" t="s">
        <v>356</v>
      </c>
      <c r="C349" s="436" t="s">
        <v>253</v>
      </c>
      <c r="D349" s="274">
        <v>2014</v>
      </c>
      <c r="E349" s="177">
        <f>G349+H349</f>
        <v>2263</v>
      </c>
      <c r="F349" s="97"/>
      <c r="G349" s="97">
        <v>2150</v>
      </c>
      <c r="H349" s="97">
        <v>113</v>
      </c>
      <c r="I349" s="177"/>
      <c r="J349" s="433" t="s">
        <v>279</v>
      </c>
      <c r="K349" s="433" t="s">
        <v>81</v>
      </c>
      <c r="L349" s="52"/>
      <c r="O349" s="20"/>
    </row>
    <row r="350" spans="1:15" s="19" customFormat="1" ht="37.5" customHeight="1">
      <c r="A350" s="450"/>
      <c r="B350" s="451"/>
      <c r="C350" s="446"/>
      <c r="D350" s="84">
        <v>2015</v>
      </c>
      <c r="E350" s="85">
        <f>G350+H350</f>
        <v>14352.2</v>
      </c>
      <c r="F350" s="322"/>
      <c r="G350" s="85">
        <f>1920+2780+15300-4798.6-1566.4</f>
        <v>13635</v>
      </c>
      <c r="H350" s="322">
        <f>800-82.8</f>
        <v>717.2</v>
      </c>
      <c r="I350" s="85"/>
      <c r="J350" s="434"/>
      <c r="K350" s="434"/>
      <c r="L350" s="52" t="s">
        <v>196</v>
      </c>
      <c r="O350" s="20"/>
    </row>
    <row r="351" spans="1:15" s="19" customFormat="1" ht="21.75" customHeight="1" hidden="1">
      <c r="A351" s="452"/>
      <c r="B351" s="439"/>
      <c r="C351" s="437"/>
      <c r="D351" s="84">
        <v>2016</v>
      </c>
      <c r="E351" s="85">
        <f>G351+H351</f>
        <v>0</v>
      </c>
      <c r="F351" s="322"/>
      <c r="G351" s="85">
        <v>0</v>
      </c>
      <c r="H351" s="322">
        <v>0</v>
      </c>
      <c r="I351" s="85"/>
      <c r="J351" s="435"/>
      <c r="K351" s="435"/>
      <c r="L351" s="52"/>
      <c r="O351" s="20"/>
    </row>
    <row r="352" spans="1:15" s="19" customFormat="1" ht="40.5" customHeight="1" hidden="1">
      <c r="A352" s="229" t="s">
        <v>36</v>
      </c>
      <c r="B352" s="194" t="s">
        <v>357</v>
      </c>
      <c r="C352" s="323" t="s">
        <v>253</v>
      </c>
      <c r="D352" s="211">
        <v>2015</v>
      </c>
      <c r="E352" s="107">
        <f aca="true" t="shared" si="13" ref="E352:E361">G352+H352+I352+F352</f>
        <v>0</v>
      </c>
      <c r="F352" s="266"/>
      <c r="G352" s="107">
        <v>0</v>
      </c>
      <c r="H352" s="266">
        <v>0</v>
      </c>
      <c r="I352" s="107"/>
      <c r="J352" s="231" t="s">
        <v>20</v>
      </c>
      <c r="K352" s="107" t="s">
        <v>81</v>
      </c>
      <c r="L352" s="52"/>
      <c r="O352" s="20"/>
    </row>
    <row r="353" spans="1:15" s="19" customFormat="1" ht="72.75" customHeight="1">
      <c r="A353" s="449" t="s">
        <v>93</v>
      </c>
      <c r="B353" s="438" t="s">
        <v>366</v>
      </c>
      <c r="C353" s="436" t="s">
        <v>253</v>
      </c>
      <c r="D353" s="211">
        <v>2014</v>
      </c>
      <c r="E353" s="102">
        <f t="shared" si="13"/>
        <v>2652.3</v>
      </c>
      <c r="F353" s="107"/>
      <c r="G353" s="107">
        <v>2519.3</v>
      </c>
      <c r="H353" s="107">
        <v>133</v>
      </c>
      <c r="I353" s="107"/>
      <c r="J353" s="433" t="s">
        <v>407</v>
      </c>
      <c r="K353" s="467" t="s">
        <v>81</v>
      </c>
      <c r="L353" s="52"/>
      <c r="O353" s="20"/>
    </row>
    <row r="354" spans="1:15" s="19" customFormat="1" ht="23.25" customHeight="1">
      <c r="A354" s="452"/>
      <c r="B354" s="439"/>
      <c r="C354" s="437"/>
      <c r="D354" s="211">
        <v>2015</v>
      </c>
      <c r="E354" s="102">
        <f>G354+H354</f>
        <v>2640.5</v>
      </c>
      <c r="F354" s="107"/>
      <c r="G354" s="107">
        <f>2519.3</f>
        <v>2519.3</v>
      </c>
      <c r="H354" s="107">
        <f>121.2</f>
        <v>121.2</v>
      </c>
      <c r="I354" s="107"/>
      <c r="J354" s="435"/>
      <c r="K354" s="468"/>
      <c r="L354" s="52"/>
      <c r="O354" s="20"/>
    </row>
    <row r="355" spans="1:15" s="19" customFormat="1" ht="93" customHeight="1">
      <c r="A355" s="229" t="s">
        <v>213</v>
      </c>
      <c r="B355" s="194" t="s">
        <v>364</v>
      </c>
      <c r="C355" s="199" t="s">
        <v>253</v>
      </c>
      <c r="D355" s="211">
        <v>2014</v>
      </c>
      <c r="E355" s="85">
        <f t="shared" si="13"/>
        <v>1966.3</v>
      </c>
      <c r="F355" s="107"/>
      <c r="G355" s="107">
        <f>2850-1000</f>
        <v>1850</v>
      </c>
      <c r="H355" s="107">
        <f>100+16.3</f>
        <v>116.3</v>
      </c>
      <c r="I355" s="107"/>
      <c r="J355" s="214" t="s">
        <v>277</v>
      </c>
      <c r="K355" s="85" t="s">
        <v>81</v>
      </c>
      <c r="L355" s="52"/>
      <c r="O355" s="20"/>
    </row>
    <row r="356" spans="1:15" s="19" customFormat="1" ht="96.75" customHeight="1">
      <c r="A356" s="229" t="s">
        <v>214</v>
      </c>
      <c r="B356" s="194" t="s">
        <v>299</v>
      </c>
      <c r="C356" s="199" t="s">
        <v>253</v>
      </c>
      <c r="D356" s="211">
        <v>2014</v>
      </c>
      <c r="E356" s="85">
        <f t="shared" si="13"/>
        <v>718.7</v>
      </c>
      <c r="F356" s="107"/>
      <c r="G356" s="107">
        <f>821+340-478.3</f>
        <v>682.7</v>
      </c>
      <c r="H356" s="107">
        <f>60-24</f>
        <v>36</v>
      </c>
      <c r="I356" s="107"/>
      <c r="J356" s="214" t="s">
        <v>278</v>
      </c>
      <c r="K356" s="214" t="s">
        <v>81</v>
      </c>
      <c r="L356" s="52"/>
      <c r="O356" s="20"/>
    </row>
    <row r="357" spans="1:15" s="19" customFormat="1" ht="25.5" customHeight="1">
      <c r="A357" s="449" t="s">
        <v>215</v>
      </c>
      <c r="B357" s="438" t="s">
        <v>300</v>
      </c>
      <c r="C357" s="436" t="s">
        <v>253</v>
      </c>
      <c r="D357" s="465">
        <v>2015</v>
      </c>
      <c r="E357" s="467">
        <f>G357+H357+I358+F358</f>
        <v>6021.3</v>
      </c>
      <c r="F357" s="456"/>
      <c r="G357" s="467">
        <v>5720</v>
      </c>
      <c r="H357" s="467">
        <v>301.3</v>
      </c>
      <c r="I357" s="456"/>
      <c r="J357" s="433" t="s">
        <v>279</v>
      </c>
      <c r="K357" s="433" t="s">
        <v>81</v>
      </c>
      <c r="L357" s="57"/>
      <c r="O357" s="20"/>
    </row>
    <row r="358" spans="1:15" s="19" customFormat="1" ht="61.5" customHeight="1">
      <c r="A358" s="450"/>
      <c r="B358" s="451"/>
      <c r="C358" s="446"/>
      <c r="D358" s="466"/>
      <c r="E358" s="468"/>
      <c r="F358" s="458"/>
      <c r="G358" s="468"/>
      <c r="H358" s="468"/>
      <c r="I358" s="458"/>
      <c r="J358" s="434"/>
      <c r="K358" s="434"/>
      <c r="L358" s="57"/>
      <c r="O358" s="20"/>
    </row>
    <row r="359" spans="1:15" s="19" customFormat="1" ht="33" customHeight="1" hidden="1">
      <c r="A359" s="452"/>
      <c r="B359" s="439"/>
      <c r="C359" s="437"/>
      <c r="D359" s="277">
        <v>2016</v>
      </c>
      <c r="E359" s="102">
        <f>G359+H359</f>
        <v>0</v>
      </c>
      <c r="F359" s="103"/>
      <c r="G359" s="102">
        <v>0</v>
      </c>
      <c r="H359" s="102">
        <v>0</v>
      </c>
      <c r="I359" s="103"/>
      <c r="J359" s="435"/>
      <c r="K359" s="435"/>
      <c r="L359" s="57"/>
      <c r="O359" s="20"/>
    </row>
    <row r="360" spans="1:15" s="19" customFormat="1" ht="96" customHeight="1">
      <c r="A360" s="229" t="s">
        <v>88</v>
      </c>
      <c r="B360" s="194" t="s">
        <v>301</v>
      </c>
      <c r="C360" s="199" t="s">
        <v>253</v>
      </c>
      <c r="D360" s="211">
        <v>2015</v>
      </c>
      <c r="E360" s="85">
        <f t="shared" si="13"/>
        <v>9006.2</v>
      </c>
      <c r="F360" s="107">
        <v>8700</v>
      </c>
      <c r="G360" s="107">
        <f>186.2-186.2</f>
        <v>0</v>
      </c>
      <c r="H360" s="107">
        <f>496.2-190</f>
        <v>306.2</v>
      </c>
      <c r="I360" s="107"/>
      <c r="J360" s="84" t="s">
        <v>246</v>
      </c>
      <c r="K360" s="199" t="s">
        <v>81</v>
      </c>
      <c r="L360" s="52" t="s">
        <v>194</v>
      </c>
      <c r="O360" s="20"/>
    </row>
    <row r="361" spans="1:15" s="19" customFormat="1" ht="52.5" customHeight="1">
      <c r="A361" s="449" t="s">
        <v>89</v>
      </c>
      <c r="B361" s="438" t="s">
        <v>301</v>
      </c>
      <c r="C361" s="436" t="s">
        <v>253</v>
      </c>
      <c r="D361" s="211">
        <v>2015</v>
      </c>
      <c r="E361" s="102">
        <f t="shared" si="13"/>
        <v>23256.5</v>
      </c>
      <c r="F361" s="107">
        <v>541.4</v>
      </c>
      <c r="G361" s="107">
        <f>22268.3-309.7</f>
        <v>21958.6</v>
      </c>
      <c r="H361" s="107">
        <f>1200-443.5</f>
        <v>756.5</v>
      </c>
      <c r="I361" s="107"/>
      <c r="J361" s="433" t="s">
        <v>247</v>
      </c>
      <c r="K361" s="433" t="s">
        <v>81</v>
      </c>
      <c r="L361" s="476" t="s">
        <v>195</v>
      </c>
      <c r="M361" s="476"/>
      <c r="O361" s="20"/>
    </row>
    <row r="362" spans="1:15" s="19" customFormat="1" ht="39.75" customHeight="1" hidden="1">
      <c r="A362" s="452"/>
      <c r="B362" s="439"/>
      <c r="C362" s="437"/>
      <c r="D362" s="96">
        <v>2016</v>
      </c>
      <c r="E362" s="177">
        <f>F362+G362+H362</f>
        <v>0</v>
      </c>
      <c r="F362" s="98">
        <v>0</v>
      </c>
      <c r="G362" s="98">
        <f>29000-29000</f>
        <v>0</v>
      </c>
      <c r="H362" s="98">
        <v>0</v>
      </c>
      <c r="I362" s="98"/>
      <c r="J362" s="435"/>
      <c r="K362" s="435"/>
      <c r="L362" s="476"/>
      <c r="M362" s="476"/>
      <c r="O362" s="20"/>
    </row>
    <row r="363" spans="1:17" s="19" customFormat="1" ht="67.5" customHeight="1" hidden="1">
      <c r="A363" s="449" t="s">
        <v>216</v>
      </c>
      <c r="B363" s="438" t="s">
        <v>302</v>
      </c>
      <c r="C363" s="436" t="s">
        <v>253</v>
      </c>
      <c r="D363" s="465">
        <v>2015</v>
      </c>
      <c r="E363" s="467">
        <f>G363+H363</f>
        <v>0</v>
      </c>
      <c r="F363" s="456"/>
      <c r="G363" s="456">
        <v>0</v>
      </c>
      <c r="H363" s="456">
        <v>0</v>
      </c>
      <c r="I363" s="456"/>
      <c r="J363" s="433"/>
      <c r="K363" s="433" t="s">
        <v>81</v>
      </c>
      <c r="L363" s="52"/>
      <c r="O363" s="20"/>
      <c r="P363" s="21"/>
      <c r="Q363" s="21"/>
    </row>
    <row r="364" spans="1:17" s="19" customFormat="1" ht="0.75" customHeight="1" hidden="1">
      <c r="A364" s="450"/>
      <c r="B364" s="451"/>
      <c r="C364" s="446"/>
      <c r="D364" s="466"/>
      <c r="E364" s="468"/>
      <c r="F364" s="458"/>
      <c r="G364" s="458"/>
      <c r="H364" s="458"/>
      <c r="I364" s="458"/>
      <c r="J364" s="434"/>
      <c r="K364" s="434"/>
      <c r="L364" s="52"/>
      <c r="O364" s="20"/>
      <c r="P364" s="21"/>
      <c r="Q364" s="21"/>
    </row>
    <row r="365" spans="1:17" s="19" customFormat="1" ht="41.25" customHeight="1" hidden="1">
      <c r="A365" s="452"/>
      <c r="B365" s="439"/>
      <c r="C365" s="437"/>
      <c r="D365" s="210">
        <v>2016</v>
      </c>
      <c r="E365" s="177">
        <f>G365+H365</f>
        <v>919.1</v>
      </c>
      <c r="F365" s="196"/>
      <c r="G365" s="196">
        <f>5200-4412</f>
        <v>788</v>
      </c>
      <c r="H365" s="196">
        <f>87+44.1</f>
        <v>131.1</v>
      </c>
      <c r="I365" s="196"/>
      <c r="J365" s="435"/>
      <c r="K365" s="435"/>
      <c r="L365" s="52"/>
      <c r="O365" s="20"/>
      <c r="P365" s="21"/>
      <c r="Q365" s="21"/>
    </row>
    <row r="366" spans="1:17" s="19" customFormat="1" ht="76.5" customHeight="1" hidden="1">
      <c r="A366" s="449" t="s">
        <v>217</v>
      </c>
      <c r="B366" s="438" t="s">
        <v>302</v>
      </c>
      <c r="C366" s="436" t="s">
        <v>253</v>
      </c>
      <c r="D366" s="465">
        <v>2015</v>
      </c>
      <c r="E366" s="467">
        <f>G366+H366</f>
        <v>0</v>
      </c>
      <c r="F366" s="456"/>
      <c r="G366" s="456">
        <v>0</v>
      </c>
      <c r="H366" s="456">
        <v>0</v>
      </c>
      <c r="I366" s="456"/>
      <c r="J366" s="440"/>
      <c r="K366" s="467" t="s">
        <v>81</v>
      </c>
      <c r="L366" s="52"/>
      <c r="O366" s="20"/>
      <c r="P366" s="21"/>
      <c r="Q366" s="21"/>
    </row>
    <row r="367" spans="1:17" s="19" customFormat="1" ht="18" customHeight="1" hidden="1">
      <c r="A367" s="450"/>
      <c r="B367" s="451"/>
      <c r="C367" s="446"/>
      <c r="D367" s="466"/>
      <c r="E367" s="468"/>
      <c r="F367" s="458"/>
      <c r="G367" s="458"/>
      <c r="H367" s="458"/>
      <c r="I367" s="458"/>
      <c r="J367" s="441"/>
      <c r="K367" s="470"/>
      <c r="L367" s="52"/>
      <c r="O367" s="20"/>
      <c r="P367" s="21"/>
      <c r="Q367" s="21"/>
    </row>
    <row r="368" spans="1:17" s="19" customFormat="1" ht="21" customHeight="1" hidden="1">
      <c r="A368" s="452"/>
      <c r="B368" s="439"/>
      <c r="C368" s="437"/>
      <c r="D368" s="211">
        <v>2016</v>
      </c>
      <c r="E368" s="85">
        <f>G368+H368</f>
        <v>1065.1</v>
      </c>
      <c r="F368" s="107"/>
      <c r="G368" s="107">
        <f>4400-3467.8</f>
        <v>932.1999999999998</v>
      </c>
      <c r="H368" s="107">
        <f>87+45.9</f>
        <v>132.9</v>
      </c>
      <c r="I368" s="107"/>
      <c r="J368" s="471"/>
      <c r="K368" s="468"/>
      <c r="L368" s="52"/>
      <c r="O368" s="20"/>
      <c r="P368" s="21"/>
      <c r="Q368" s="21"/>
    </row>
    <row r="369" spans="1:17" s="19" customFormat="1" ht="80.25" customHeight="1">
      <c r="A369" s="229" t="s">
        <v>537</v>
      </c>
      <c r="B369" s="194" t="s">
        <v>303</v>
      </c>
      <c r="C369" s="199" t="s">
        <v>253</v>
      </c>
      <c r="D369" s="210">
        <v>2014</v>
      </c>
      <c r="E369" s="102">
        <f aca="true" t="shared" si="14" ref="E369:E375">G369+H369+I369+F369</f>
        <v>1338.6000000000001</v>
      </c>
      <c r="F369" s="196"/>
      <c r="G369" s="196">
        <f>1600-345.6</f>
        <v>1254.4</v>
      </c>
      <c r="H369" s="196">
        <v>84.2</v>
      </c>
      <c r="I369" s="196"/>
      <c r="J369" s="214" t="s">
        <v>282</v>
      </c>
      <c r="K369" s="85" t="s">
        <v>81</v>
      </c>
      <c r="L369" s="52"/>
      <c r="O369" s="20"/>
      <c r="P369" s="21"/>
      <c r="Q369" s="21"/>
    </row>
    <row r="370" spans="1:17" s="19" customFormat="1" ht="81" customHeight="1">
      <c r="A370" s="229" t="s">
        <v>538</v>
      </c>
      <c r="B370" s="95" t="s">
        <v>365</v>
      </c>
      <c r="C370" s="199" t="s">
        <v>253</v>
      </c>
      <c r="D370" s="211">
        <v>2014</v>
      </c>
      <c r="E370" s="102">
        <f t="shared" si="14"/>
        <v>8000</v>
      </c>
      <c r="F370" s="107"/>
      <c r="G370" s="107">
        <v>7600</v>
      </c>
      <c r="H370" s="107">
        <v>400</v>
      </c>
      <c r="I370" s="107"/>
      <c r="J370" s="214" t="s">
        <v>283</v>
      </c>
      <c r="K370" s="85" t="s">
        <v>81</v>
      </c>
      <c r="L370" s="52"/>
      <c r="O370" s="20"/>
      <c r="P370" s="21"/>
      <c r="Q370" s="21"/>
    </row>
    <row r="371" spans="1:17" s="19" customFormat="1" ht="77.25" customHeight="1">
      <c r="A371" s="229" t="s">
        <v>539</v>
      </c>
      <c r="B371" s="194" t="s">
        <v>304</v>
      </c>
      <c r="C371" s="199" t="s">
        <v>253</v>
      </c>
      <c r="D371" s="211">
        <v>2014</v>
      </c>
      <c r="E371" s="85">
        <f t="shared" si="14"/>
        <v>1623.3</v>
      </c>
      <c r="F371" s="107"/>
      <c r="G371" s="107">
        <v>1542.1</v>
      </c>
      <c r="H371" s="107">
        <v>81.2</v>
      </c>
      <c r="I371" s="107"/>
      <c r="J371" s="214" t="s">
        <v>261</v>
      </c>
      <c r="K371" s="85" t="s">
        <v>81</v>
      </c>
      <c r="L371" s="52"/>
      <c r="O371" s="22"/>
      <c r="P371" s="21"/>
      <c r="Q371" s="21"/>
    </row>
    <row r="372" spans="1:17" s="19" customFormat="1" ht="81" customHeight="1">
      <c r="A372" s="449" t="s">
        <v>540</v>
      </c>
      <c r="B372" s="438" t="s">
        <v>305</v>
      </c>
      <c r="C372" s="436" t="s">
        <v>253</v>
      </c>
      <c r="D372" s="324">
        <v>2014</v>
      </c>
      <c r="E372" s="85">
        <f t="shared" si="14"/>
        <v>6915</v>
      </c>
      <c r="F372" s="97">
        <f>4625+2000</f>
        <v>6625</v>
      </c>
      <c r="G372" s="98">
        <f>2000-2000</f>
        <v>0</v>
      </c>
      <c r="H372" s="98">
        <v>290</v>
      </c>
      <c r="I372" s="92"/>
      <c r="J372" s="433"/>
      <c r="K372" s="467" t="s">
        <v>81</v>
      </c>
      <c r="L372" s="52"/>
      <c r="O372" s="6"/>
      <c r="P372" s="21"/>
      <c r="Q372" s="21"/>
    </row>
    <row r="373" spans="1:17" s="19" customFormat="1" ht="49.5" customHeight="1" hidden="1">
      <c r="A373" s="450"/>
      <c r="B373" s="451"/>
      <c r="C373" s="446"/>
      <c r="D373" s="211">
        <v>2015</v>
      </c>
      <c r="E373" s="102">
        <f t="shared" si="14"/>
        <v>0</v>
      </c>
      <c r="F373" s="85">
        <v>0</v>
      </c>
      <c r="G373" s="107">
        <v>0</v>
      </c>
      <c r="H373" s="107">
        <v>0</v>
      </c>
      <c r="I373" s="216"/>
      <c r="J373" s="434"/>
      <c r="K373" s="470"/>
      <c r="L373" s="52"/>
      <c r="N373" s="5"/>
      <c r="O373" s="6"/>
      <c r="P373" s="21"/>
      <c r="Q373" s="21"/>
    </row>
    <row r="374" spans="1:17" s="19" customFormat="1" ht="27" customHeight="1" hidden="1">
      <c r="A374" s="452"/>
      <c r="B374" s="439"/>
      <c r="C374" s="437"/>
      <c r="D374" s="96">
        <v>2016</v>
      </c>
      <c r="E374" s="102">
        <f>G374+H374</f>
        <v>5981.6</v>
      </c>
      <c r="F374" s="97"/>
      <c r="G374" s="98">
        <v>5661.6</v>
      </c>
      <c r="H374" s="98">
        <v>320</v>
      </c>
      <c r="I374" s="92"/>
      <c r="J374" s="435"/>
      <c r="K374" s="468"/>
      <c r="L374" s="52"/>
      <c r="N374" s="5"/>
      <c r="O374" s="6"/>
      <c r="P374" s="21"/>
      <c r="Q374" s="21"/>
    </row>
    <row r="375" spans="1:17" s="19" customFormat="1" ht="84" customHeight="1">
      <c r="A375" s="449" t="s">
        <v>541</v>
      </c>
      <c r="B375" s="438" t="s">
        <v>306</v>
      </c>
      <c r="C375" s="87" t="s">
        <v>253</v>
      </c>
      <c r="D375" s="96">
        <v>2014</v>
      </c>
      <c r="E375" s="85">
        <f t="shared" si="14"/>
        <v>18858.8</v>
      </c>
      <c r="F375" s="97">
        <v>17916.8</v>
      </c>
      <c r="G375" s="98">
        <f>11377-11377</f>
        <v>0</v>
      </c>
      <c r="H375" s="98">
        <v>942</v>
      </c>
      <c r="I375" s="92"/>
      <c r="J375" s="93" t="s">
        <v>293</v>
      </c>
      <c r="K375" s="97" t="s">
        <v>81</v>
      </c>
      <c r="L375" s="52"/>
      <c r="N375" s="23"/>
      <c r="O375" s="24"/>
      <c r="P375" s="21"/>
      <c r="Q375" s="21"/>
    </row>
    <row r="376" spans="1:17" s="19" customFormat="1" ht="21.75" customHeight="1" hidden="1">
      <c r="A376" s="499"/>
      <c r="B376" s="439"/>
      <c r="C376" s="88"/>
      <c r="D376" s="211">
        <v>2015</v>
      </c>
      <c r="E376" s="102">
        <f>G376+H376</f>
        <v>0</v>
      </c>
      <c r="F376" s="85"/>
      <c r="G376" s="107">
        <v>0</v>
      </c>
      <c r="H376" s="107">
        <v>0</v>
      </c>
      <c r="I376" s="216"/>
      <c r="J376" s="104"/>
      <c r="K376" s="102"/>
      <c r="L376" s="52"/>
      <c r="N376" s="23"/>
      <c r="O376" s="25"/>
      <c r="P376" s="21"/>
      <c r="Q376" s="21"/>
    </row>
    <row r="377" spans="1:17" s="19" customFormat="1" ht="81.75" customHeight="1">
      <c r="A377" s="90" t="s">
        <v>542</v>
      </c>
      <c r="B377" s="91" t="s">
        <v>306</v>
      </c>
      <c r="C377" s="87" t="s">
        <v>253</v>
      </c>
      <c r="D377" s="211">
        <v>2014</v>
      </c>
      <c r="E377" s="85">
        <f>G377+H377+I377+F377</f>
        <v>2021.3</v>
      </c>
      <c r="F377" s="107"/>
      <c r="G377" s="107">
        <f>3400-1500</f>
        <v>1900</v>
      </c>
      <c r="H377" s="107">
        <f>170-48.7</f>
        <v>121.3</v>
      </c>
      <c r="I377" s="216"/>
      <c r="J377" s="214" t="s">
        <v>272</v>
      </c>
      <c r="K377" s="214" t="s">
        <v>81</v>
      </c>
      <c r="L377" s="52"/>
      <c r="O377" s="26"/>
      <c r="P377" s="21"/>
      <c r="Q377" s="21"/>
    </row>
    <row r="378" spans="1:17" s="19" customFormat="1" ht="42" customHeight="1">
      <c r="A378" s="449" t="s">
        <v>543</v>
      </c>
      <c r="B378" s="438" t="s">
        <v>307</v>
      </c>
      <c r="C378" s="436" t="s">
        <v>253</v>
      </c>
      <c r="D378" s="96">
        <v>2014</v>
      </c>
      <c r="E378" s="97">
        <f>G378+H378</f>
        <v>1033</v>
      </c>
      <c r="F378" s="98"/>
      <c r="G378" s="98">
        <f>950</f>
        <v>950</v>
      </c>
      <c r="H378" s="98">
        <f>83</f>
        <v>83</v>
      </c>
      <c r="I378" s="92"/>
      <c r="J378" s="433" t="s">
        <v>273</v>
      </c>
      <c r="K378" s="433" t="s">
        <v>81</v>
      </c>
      <c r="L378" s="52"/>
      <c r="O378" s="26"/>
      <c r="P378" s="21"/>
      <c r="Q378" s="21"/>
    </row>
    <row r="379" spans="1:17" s="19" customFormat="1" ht="19.5" customHeight="1">
      <c r="A379" s="450"/>
      <c r="B379" s="451"/>
      <c r="C379" s="446"/>
      <c r="D379" s="465">
        <v>2015</v>
      </c>
      <c r="E379" s="467">
        <f>G379+H379+I380+F379</f>
        <v>5911.9</v>
      </c>
      <c r="F379" s="456">
        <v>5661.6</v>
      </c>
      <c r="G379" s="456">
        <f>3750+3750-7361.6</f>
        <v>138.39999999999964</v>
      </c>
      <c r="H379" s="456">
        <f>231+31-150.1</f>
        <v>111.9</v>
      </c>
      <c r="I379" s="456"/>
      <c r="J379" s="434"/>
      <c r="K379" s="434"/>
      <c r="L379" s="52"/>
      <c r="P379" s="21"/>
      <c r="Q379" s="21"/>
    </row>
    <row r="380" spans="1:17" s="19" customFormat="1" ht="16.5" customHeight="1">
      <c r="A380" s="452"/>
      <c r="B380" s="439"/>
      <c r="C380" s="437"/>
      <c r="D380" s="569"/>
      <c r="E380" s="468"/>
      <c r="F380" s="458"/>
      <c r="G380" s="458"/>
      <c r="H380" s="458"/>
      <c r="I380" s="458"/>
      <c r="J380" s="435"/>
      <c r="K380" s="435"/>
      <c r="L380" s="52"/>
      <c r="O380" s="26"/>
      <c r="P380" s="21"/>
      <c r="Q380" s="21"/>
    </row>
    <row r="381" spans="1:17" s="19" customFormat="1" ht="65.25" customHeight="1">
      <c r="A381" s="229" t="s">
        <v>544</v>
      </c>
      <c r="B381" s="194" t="s">
        <v>7</v>
      </c>
      <c r="C381" s="199" t="s">
        <v>253</v>
      </c>
      <c r="D381" s="211">
        <v>2014</v>
      </c>
      <c r="E381" s="85">
        <f>G381+H381+I381+F381</f>
        <v>0</v>
      </c>
      <c r="F381" s="107"/>
      <c r="G381" s="107"/>
      <c r="H381" s="107"/>
      <c r="I381" s="216"/>
      <c r="J381" s="214" t="s">
        <v>274</v>
      </c>
      <c r="K381" s="85" t="s">
        <v>81</v>
      </c>
      <c r="L381" s="52"/>
      <c r="O381" s="26"/>
      <c r="P381" s="21"/>
      <c r="Q381" s="21"/>
    </row>
    <row r="382" spans="1:17" s="19" customFormat="1" ht="24" customHeight="1">
      <c r="A382" s="449" t="s">
        <v>545</v>
      </c>
      <c r="B382" s="438" t="s">
        <v>308</v>
      </c>
      <c r="C382" s="522" t="s">
        <v>253</v>
      </c>
      <c r="D382" s="264">
        <v>2014</v>
      </c>
      <c r="E382" s="85">
        <f>G382+H382+I382+F382</f>
        <v>1741</v>
      </c>
      <c r="F382" s="266"/>
      <c r="G382" s="107">
        <f>3000-1416.6+16.6</f>
        <v>1600</v>
      </c>
      <c r="H382" s="266">
        <f>157-16</f>
        <v>141</v>
      </c>
      <c r="I382" s="216"/>
      <c r="J382" s="433" t="s">
        <v>281</v>
      </c>
      <c r="K382" s="97" t="s">
        <v>81</v>
      </c>
      <c r="L382" s="52"/>
      <c r="O382" s="26"/>
      <c r="P382" s="21"/>
      <c r="Q382" s="21"/>
    </row>
    <row r="383" spans="1:17" s="19" customFormat="1" ht="54.75" customHeight="1">
      <c r="A383" s="452"/>
      <c r="B383" s="439"/>
      <c r="C383" s="538"/>
      <c r="D383" s="242">
        <v>2015</v>
      </c>
      <c r="E383" s="102">
        <f>G383+H383</f>
        <v>8810</v>
      </c>
      <c r="F383" s="275"/>
      <c r="G383" s="103">
        <f>14700-6300</f>
        <v>8400</v>
      </c>
      <c r="H383" s="275">
        <v>410</v>
      </c>
      <c r="I383" s="222"/>
      <c r="J383" s="435"/>
      <c r="K383" s="325"/>
      <c r="L383" s="52"/>
      <c r="O383" s="26"/>
      <c r="P383" s="21"/>
      <c r="Q383" s="21"/>
    </row>
    <row r="384" spans="1:17" s="19" customFormat="1" ht="26.25" customHeight="1">
      <c r="A384" s="449" t="s">
        <v>546</v>
      </c>
      <c r="B384" s="438" t="s">
        <v>308</v>
      </c>
      <c r="C384" s="522" t="s">
        <v>253</v>
      </c>
      <c r="D384" s="264">
        <v>2014</v>
      </c>
      <c r="E384" s="85">
        <f>G384+H384+I384+F384</f>
        <v>971</v>
      </c>
      <c r="F384" s="266"/>
      <c r="G384" s="107">
        <f>3474.3-2586.3+16+16</f>
        <v>920</v>
      </c>
      <c r="H384" s="107">
        <f>182-100-31</f>
        <v>51</v>
      </c>
      <c r="I384" s="314"/>
      <c r="J384" s="93" t="s">
        <v>281</v>
      </c>
      <c r="K384" s="453" t="s">
        <v>81</v>
      </c>
      <c r="L384" s="52"/>
      <c r="O384" s="26"/>
      <c r="P384" s="21"/>
      <c r="Q384" s="21"/>
    </row>
    <row r="385" spans="1:17" s="19" customFormat="1" ht="59.25" customHeight="1">
      <c r="A385" s="450"/>
      <c r="B385" s="451"/>
      <c r="C385" s="501"/>
      <c r="D385" s="242">
        <v>2015</v>
      </c>
      <c r="E385" s="102">
        <f>G385+H385</f>
        <v>4227.4</v>
      </c>
      <c r="F385" s="275"/>
      <c r="G385" s="103">
        <f>4702-652</f>
        <v>4050</v>
      </c>
      <c r="H385" s="103">
        <f>248.6-71.2</f>
        <v>177.39999999999998</v>
      </c>
      <c r="I385" s="306"/>
      <c r="J385" s="104"/>
      <c r="K385" s="455"/>
      <c r="L385" s="52"/>
      <c r="O385" s="26"/>
      <c r="P385" s="21"/>
      <c r="Q385" s="21"/>
    </row>
    <row r="386" spans="1:17" s="19" customFormat="1" ht="21.75" customHeight="1">
      <c r="A386" s="449" t="s">
        <v>547</v>
      </c>
      <c r="B386" s="438" t="s">
        <v>308</v>
      </c>
      <c r="C386" s="436" t="s">
        <v>253</v>
      </c>
      <c r="D386" s="244">
        <v>2014</v>
      </c>
      <c r="E386" s="177">
        <f>G386+H386</f>
        <v>210</v>
      </c>
      <c r="F386" s="281"/>
      <c r="G386" s="196">
        <v>200</v>
      </c>
      <c r="H386" s="196">
        <v>10</v>
      </c>
      <c r="I386" s="326"/>
      <c r="J386" s="433"/>
      <c r="K386" s="453" t="s">
        <v>81</v>
      </c>
      <c r="L386" s="52"/>
      <c r="O386" s="26"/>
      <c r="P386" s="21"/>
      <c r="Q386" s="21"/>
    </row>
    <row r="387" spans="1:17" s="19" customFormat="1" ht="26.25" customHeight="1">
      <c r="A387" s="450"/>
      <c r="B387" s="451"/>
      <c r="C387" s="446"/>
      <c r="D387" s="465">
        <v>2015</v>
      </c>
      <c r="E387" s="467">
        <f>G387+H387+I388+F388</f>
        <v>1603</v>
      </c>
      <c r="F387" s="456"/>
      <c r="G387" s="456">
        <f>4121-921-1030-651</f>
        <v>1519</v>
      </c>
      <c r="H387" s="456">
        <f>140-4-16-36</f>
        <v>84</v>
      </c>
      <c r="I387" s="456"/>
      <c r="J387" s="434"/>
      <c r="K387" s="454"/>
      <c r="L387" s="52"/>
      <c r="O387" s="26"/>
      <c r="P387" s="21"/>
      <c r="Q387" s="21"/>
    </row>
    <row r="388" spans="1:17" s="19" customFormat="1" ht="34.5" customHeight="1">
      <c r="A388" s="450"/>
      <c r="B388" s="451"/>
      <c r="C388" s="446"/>
      <c r="D388" s="466"/>
      <c r="E388" s="468"/>
      <c r="F388" s="458"/>
      <c r="G388" s="458"/>
      <c r="H388" s="458"/>
      <c r="I388" s="458"/>
      <c r="J388" s="434"/>
      <c r="K388" s="454"/>
      <c r="L388" s="52"/>
      <c r="O388" s="26"/>
      <c r="P388" s="21"/>
      <c r="Q388" s="21"/>
    </row>
    <row r="389" spans="1:17" s="19" customFormat="1" ht="27.75" customHeight="1" hidden="1">
      <c r="A389" s="450"/>
      <c r="B389" s="451"/>
      <c r="C389" s="446"/>
      <c r="D389" s="324">
        <v>2016</v>
      </c>
      <c r="E389" s="102">
        <f>G389+H389+I389+F389</f>
        <v>677</v>
      </c>
      <c r="F389" s="92">
        <v>0</v>
      </c>
      <c r="G389" s="98">
        <f>10000+9500-18849</f>
        <v>651</v>
      </c>
      <c r="H389" s="98">
        <f>700-200-474</f>
        <v>26</v>
      </c>
      <c r="I389" s="92"/>
      <c r="J389" s="434"/>
      <c r="K389" s="454"/>
      <c r="L389" s="52"/>
      <c r="O389" s="26"/>
      <c r="P389" s="21"/>
      <c r="Q389" s="21"/>
    </row>
    <row r="390" spans="1:17" s="19" customFormat="1" ht="27.75" customHeight="1" hidden="1">
      <c r="A390" s="452"/>
      <c r="B390" s="439"/>
      <c r="C390" s="437"/>
      <c r="D390" s="324">
        <v>2017</v>
      </c>
      <c r="E390" s="102">
        <f>G390+H390</f>
        <v>4371</v>
      </c>
      <c r="F390" s="92"/>
      <c r="G390" s="98">
        <v>4371</v>
      </c>
      <c r="H390" s="98">
        <v>0</v>
      </c>
      <c r="I390" s="92"/>
      <c r="J390" s="435"/>
      <c r="K390" s="455"/>
      <c r="L390" s="52"/>
      <c r="O390" s="26"/>
      <c r="P390" s="21"/>
      <c r="Q390" s="21"/>
    </row>
    <row r="391" spans="1:17" s="19" customFormat="1" ht="64.5" customHeight="1">
      <c r="A391" s="449" t="s">
        <v>548</v>
      </c>
      <c r="B391" s="438" t="s">
        <v>308</v>
      </c>
      <c r="C391" s="436" t="s">
        <v>253</v>
      </c>
      <c r="D391" s="211">
        <v>2015</v>
      </c>
      <c r="E391" s="85">
        <f>F391+G391+H391</f>
        <v>210</v>
      </c>
      <c r="F391" s="107"/>
      <c r="G391" s="107">
        <v>200</v>
      </c>
      <c r="H391" s="107">
        <v>10</v>
      </c>
      <c r="I391" s="107"/>
      <c r="J391" s="433"/>
      <c r="K391" s="453" t="s">
        <v>81</v>
      </c>
      <c r="L391" s="52"/>
      <c r="O391" s="26"/>
      <c r="P391" s="21"/>
      <c r="Q391" s="21"/>
    </row>
    <row r="392" spans="1:17" s="19" customFormat="1" ht="42.75" customHeight="1" hidden="1">
      <c r="A392" s="452"/>
      <c r="B392" s="439"/>
      <c r="C392" s="437"/>
      <c r="D392" s="211">
        <v>2016</v>
      </c>
      <c r="E392" s="85">
        <f>G392+H392</f>
        <v>3250</v>
      </c>
      <c r="F392" s="107"/>
      <c r="G392" s="107">
        <f>5000-2000</f>
        <v>3000</v>
      </c>
      <c r="H392" s="107">
        <v>250</v>
      </c>
      <c r="I392" s="107"/>
      <c r="J392" s="435"/>
      <c r="K392" s="455"/>
      <c r="L392" s="52"/>
      <c r="O392" s="26"/>
      <c r="P392" s="21"/>
      <c r="Q392" s="21"/>
    </row>
    <row r="393" spans="1:17" s="19" customFormat="1" ht="16.5" customHeight="1">
      <c r="A393" s="449" t="s">
        <v>549</v>
      </c>
      <c r="B393" s="438" t="s">
        <v>18</v>
      </c>
      <c r="C393" s="436" t="s">
        <v>253</v>
      </c>
      <c r="D393" s="465">
        <v>2014</v>
      </c>
      <c r="E393" s="467">
        <f>F393+G393+H393+I393</f>
        <v>1894</v>
      </c>
      <c r="F393" s="456"/>
      <c r="G393" s="456">
        <v>1804</v>
      </c>
      <c r="H393" s="456">
        <v>90</v>
      </c>
      <c r="I393" s="456"/>
      <c r="J393" s="433" t="s">
        <v>19</v>
      </c>
      <c r="K393" s="453" t="s">
        <v>81</v>
      </c>
      <c r="L393" s="52"/>
      <c r="O393" s="26"/>
      <c r="P393" s="21"/>
      <c r="Q393" s="21"/>
    </row>
    <row r="394" spans="1:17" s="19" customFormat="1" ht="16.5" customHeight="1">
      <c r="A394" s="564"/>
      <c r="B394" s="451"/>
      <c r="C394" s="446"/>
      <c r="D394" s="469"/>
      <c r="E394" s="470"/>
      <c r="F394" s="457"/>
      <c r="G394" s="457"/>
      <c r="H394" s="457"/>
      <c r="I394" s="457"/>
      <c r="J394" s="434"/>
      <c r="K394" s="454"/>
      <c r="L394" s="52"/>
      <c r="O394" s="26"/>
      <c r="P394" s="21"/>
      <c r="Q394" s="21"/>
    </row>
    <row r="395" spans="1:17" s="19" customFormat="1" ht="44.25" customHeight="1">
      <c r="A395" s="499"/>
      <c r="B395" s="439"/>
      <c r="C395" s="437"/>
      <c r="D395" s="466"/>
      <c r="E395" s="468"/>
      <c r="F395" s="458"/>
      <c r="G395" s="458"/>
      <c r="H395" s="458"/>
      <c r="I395" s="458"/>
      <c r="J395" s="435"/>
      <c r="K395" s="455"/>
      <c r="L395" s="52"/>
      <c r="O395" s="26"/>
      <c r="P395" s="21"/>
      <c r="Q395" s="21"/>
    </row>
    <row r="396" spans="1:17" s="19" customFormat="1" ht="16.5" customHeight="1">
      <c r="A396" s="449" t="s">
        <v>550</v>
      </c>
      <c r="B396" s="438" t="s">
        <v>18</v>
      </c>
      <c r="C396" s="436" t="s">
        <v>253</v>
      </c>
      <c r="D396" s="465">
        <v>2014</v>
      </c>
      <c r="E396" s="467">
        <f>F396+G396+H396+I396</f>
        <v>931</v>
      </c>
      <c r="F396" s="456"/>
      <c r="G396" s="456">
        <v>887</v>
      </c>
      <c r="H396" s="456">
        <v>44</v>
      </c>
      <c r="I396" s="456"/>
      <c r="J396" s="433" t="s">
        <v>20</v>
      </c>
      <c r="K396" s="453" t="s">
        <v>81</v>
      </c>
      <c r="L396" s="52"/>
      <c r="O396" s="26"/>
      <c r="P396" s="21"/>
      <c r="Q396" s="21"/>
    </row>
    <row r="397" spans="1:17" s="19" customFormat="1" ht="16.5" customHeight="1">
      <c r="A397" s="564"/>
      <c r="B397" s="451"/>
      <c r="C397" s="446"/>
      <c r="D397" s="469"/>
      <c r="E397" s="470"/>
      <c r="F397" s="457"/>
      <c r="G397" s="457"/>
      <c r="H397" s="457"/>
      <c r="I397" s="457"/>
      <c r="J397" s="434"/>
      <c r="K397" s="454"/>
      <c r="L397" s="52"/>
      <c r="O397" s="26"/>
      <c r="P397" s="21"/>
      <c r="Q397" s="21"/>
    </row>
    <row r="398" spans="1:17" s="19" customFormat="1" ht="37.5" customHeight="1">
      <c r="A398" s="499"/>
      <c r="B398" s="439"/>
      <c r="C398" s="437"/>
      <c r="D398" s="466"/>
      <c r="E398" s="468"/>
      <c r="F398" s="458"/>
      <c r="G398" s="458"/>
      <c r="H398" s="458"/>
      <c r="I398" s="458"/>
      <c r="J398" s="435"/>
      <c r="K398" s="455"/>
      <c r="L398" s="52"/>
      <c r="O398" s="26"/>
      <c r="P398" s="21"/>
      <c r="Q398" s="21"/>
    </row>
    <row r="399" spans="1:17" s="19" customFormat="1" ht="25.5" customHeight="1">
      <c r="A399" s="449" t="s">
        <v>551</v>
      </c>
      <c r="B399" s="438" t="s">
        <v>21</v>
      </c>
      <c r="C399" s="436" t="s">
        <v>253</v>
      </c>
      <c r="D399" s="465">
        <v>2014</v>
      </c>
      <c r="E399" s="467">
        <f>F399+G399+H399+I399</f>
        <v>2235</v>
      </c>
      <c r="F399" s="456"/>
      <c r="G399" s="456">
        <f>1911+224</f>
        <v>2135</v>
      </c>
      <c r="H399" s="456">
        <f>100</f>
        <v>100</v>
      </c>
      <c r="I399" s="456"/>
      <c r="J399" s="433" t="s">
        <v>247</v>
      </c>
      <c r="K399" s="453" t="s">
        <v>81</v>
      </c>
      <c r="L399" s="52"/>
      <c r="O399" s="26"/>
      <c r="P399" s="21"/>
      <c r="Q399" s="21"/>
    </row>
    <row r="400" spans="1:17" s="19" customFormat="1" ht="23.25" customHeight="1">
      <c r="A400" s="450"/>
      <c r="B400" s="451"/>
      <c r="C400" s="446"/>
      <c r="D400" s="469"/>
      <c r="E400" s="470"/>
      <c r="F400" s="457"/>
      <c r="G400" s="457"/>
      <c r="H400" s="457"/>
      <c r="I400" s="457"/>
      <c r="J400" s="434"/>
      <c r="K400" s="454"/>
      <c r="L400" s="52"/>
      <c r="O400" s="26"/>
      <c r="P400" s="21"/>
      <c r="Q400" s="21"/>
    </row>
    <row r="401" spans="1:17" s="19" customFormat="1" ht="8.25" customHeight="1">
      <c r="A401" s="450"/>
      <c r="B401" s="451"/>
      <c r="C401" s="446"/>
      <c r="D401" s="466"/>
      <c r="E401" s="468"/>
      <c r="F401" s="458"/>
      <c r="G401" s="458"/>
      <c r="H401" s="458"/>
      <c r="I401" s="458"/>
      <c r="J401" s="434"/>
      <c r="K401" s="454"/>
      <c r="L401" s="52"/>
      <c r="O401" s="26"/>
      <c r="P401" s="21"/>
      <c r="Q401" s="21"/>
    </row>
    <row r="402" spans="1:17" s="19" customFormat="1" ht="39" customHeight="1">
      <c r="A402" s="450"/>
      <c r="B402" s="451"/>
      <c r="C402" s="446"/>
      <c r="D402" s="211">
        <v>2015</v>
      </c>
      <c r="E402" s="85">
        <f>G402+H402</f>
        <v>14076.9</v>
      </c>
      <c r="F402" s="107"/>
      <c r="G402" s="107">
        <f>3000+13558-2022.2-1162.8</f>
        <v>13373</v>
      </c>
      <c r="H402" s="107">
        <f>872-107-61.1</f>
        <v>703.9</v>
      </c>
      <c r="I402" s="107"/>
      <c r="J402" s="434"/>
      <c r="K402" s="454"/>
      <c r="L402" s="52"/>
      <c r="O402" s="26"/>
      <c r="P402" s="21"/>
      <c r="Q402" s="21"/>
    </row>
    <row r="403" spans="1:17" s="19" customFormat="1" ht="17.25" customHeight="1" hidden="1">
      <c r="A403" s="452"/>
      <c r="B403" s="439"/>
      <c r="C403" s="437"/>
      <c r="D403" s="211">
        <v>2016</v>
      </c>
      <c r="E403" s="85">
        <f>G403+H403</f>
        <v>0</v>
      </c>
      <c r="F403" s="107"/>
      <c r="G403" s="107">
        <f>15000-15000</f>
        <v>0</v>
      </c>
      <c r="H403" s="107">
        <v>0</v>
      </c>
      <c r="I403" s="107"/>
      <c r="J403" s="435"/>
      <c r="K403" s="455"/>
      <c r="L403" s="52"/>
      <c r="O403" s="26"/>
      <c r="P403" s="21"/>
      <c r="Q403" s="21"/>
    </row>
    <row r="404" spans="1:17" s="19" customFormat="1" ht="16.5" customHeight="1" hidden="1">
      <c r="A404" s="449"/>
      <c r="B404" s="438"/>
      <c r="C404" s="436"/>
      <c r="D404" s="465"/>
      <c r="E404" s="467"/>
      <c r="F404" s="456"/>
      <c r="G404" s="456"/>
      <c r="H404" s="456"/>
      <c r="I404" s="456"/>
      <c r="J404" s="433"/>
      <c r="K404" s="453"/>
      <c r="L404" s="52"/>
      <c r="O404" s="26"/>
      <c r="P404" s="21"/>
      <c r="Q404" s="21"/>
    </row>
    <row r="405" spans="1:17" s="19" customFormat="1" ht="16.5" customHeight="1" hidden="1">
      <c r="A405" s="564"/>
      <c r="B405" s="451"/>
      <c r="C405" s="446"/>
      <c r="D405" s="469"/>
      <c r="E405" s="470"/>
      <c r="F405" s="457"/>
      <c r="G405" s="457"/>
      <c r="H405" s="457"/>
      <c r="I405" s="457"/>
      <c r="J405" s="434"/>
      <c r="K405" s="454"/>
      <c r="L405" s="52"/>
      <c r="O405" s="26"/>
      <c r="P405" s="21"/>
      <c r="Q405" s="21"/>
    </row>
    <row r="406" spans="1:17" s="19" customFormat="1" ht="16.5" customHeight="1" hidden="1">
      <c r="A406" s="499"/>
      <c r="B406" s="439"/>
      <c r="C406" s="437"/>
      <c r="D406" s="466"/>
      <c r="E406" s="468"/>
      <c r="F406" s="458"/>
      <c r="G406" s="458"/>
      <c r="H406" s="458"/>
      <c r="I406" s="458"/>
      <c r="J406" s="435"/>
      <c r="K406" s="455"/>
      <c r="L406" s="52"/>
      <c r="O406" s="26"/>
      <c r="P406" s="21"/>
      <c r="Q406" s="21"/>
    </row>
    <row r="407" spans="1:17" s="19" customFormat="1" ht="16.5" customHeight="1" hidden="1">
      <c r="A407" s="449" t="s">
        <v>22</v>
      </c>
      <c r="B407" s="438" t="s">
        <v>302</v>
      </c>
      <c r="C407" s="436" t="s">
        <v>253</v>
      </c>
      <c r="D407" s="465">
        <v>2014</v>
      </c>
      <c r="E407" s="467">
        <f>F407+G407+H407+I407</f>
        <v>0</v>
      </c>
      <c r="F407" s="456"/>
      <c r="G407" s="456">
        <v>0</v>
      </c>
      <c r="H407" s="456">
        <v>0</v>
      </c>
      <c r="I407" s="456"/>
      <c r="J407" s="433" t="s">
        <v>280</v>
      </c>
      <c r="K407" s="453" t="s">
        <v>81</v>
      </c>
      <c r="L407" s="52"/>
      <c r="O407" s="26"/>
      <c r="P407" s="21"/>
      <c r="Q407" s="21"/>
    </row>
    <row r="408" spans="1:17" s="19" customFormat="1" ht="16.5" customHeight="1" hidden="1">
      <c r="A408" s="564"/>
      <c r="B408" s="451"/>
      <c r="C408" s="446"/>
      <c r="D408" s="469"/>
      <c r="E408" s="470"/>
      <c r="F408" s="457"/>
      <c r="G408" s="457"/>
      <c r="H408" s="457"/>
      <c r="I408" s="457"/>
      <c r="J408" s="434"/>
      <c r="K408" s="454"/>
      <c r="L408" s="52"/>
      <c r="O408" s="26"/>
      <c r="P408" s="21"/>
      <c r="Q408" s="21"/>
    </row>
    <row r="409" spans="1:17" s="19" customFormat="1" ht="22.5" customHeight="1" hidden="1">
      <c r="A409" s="499"/>
      <c r="B409" s="439"/>
      <c r="C409" s="437"/>
      <c r="D409" s="466"/>
      <c r="E409" s="468"/>
      <c r="F409" s="458"/>
      <c r="G409" s="458"/>
      <c r="H409" s="458"/>
      <c r="I409" s="458"/>
      <c r="J409" s="435"/>
      <c r="K409" s="455"/>
      <c r="L409" s="52"/>
      <c r="O409" s="26"/>
      <c r="P409" s="21"/>
      <c r="Q409" s="21"/>
    </row>
    <row r="410" spans="1:17" s="19" customFormat="1" ht="16.5" customHeight="1" hidden="1">
      <c r="A410" s="449" t="s">
        <v>23</v>
      </c>
      <c r="B410" s="438" t="s">
        <v>302</v>
      </c>
      <c r="C410" s="436" t="s">
        <v>253</v>
      </c>
      <c r="D410" s="465">
        <v>2014</v>
      </c>
      <c r="E410" s="467">
        <f>F410+G410+H410+I410</f>
        <v>30</v>
      </c>
      <c r="F410" s="456"/>
      <c r="G410" s="456">
        <v>0</v>
      </c>
      <c r="H410" s="456">
        <v>30</v>
      </c>
      <c r="I410" s="456"/>
      <c r="J410" s="433" t="s">
        <v>24</v>
      </c>
      <c r="K410" s="453" t="s">
        <v>81</v>
      </c>
      <c r="L410" s="52"/>
      <c r="O410" s="26"/>
      <c r="P410" s="21"/>
      <c r="Q410" s="21"/>
    </row>
    <row r="411" spans="1:17" s="19" customFormat="1" ht="16.5" customHeight="1" hidden="1">
      <c r="A411" s="564"/>
      <c r="B411" s="451"/>
      <c r="C411" s="446"/>
      <c r="D411" s="469"/>
      <c r="E411" s="470"/>
      <c r="F411" s="457"/>
      <c r="G411" s="457"/>
      <c r="H411" s="457"/>
      <c r="I411" s="457"/>
      <c r="J411" s="434"/>
      <c r="K411" s="454"/>
      <c r="L411" s="52"/>
      <c r="O411" s="26"/>
      <c r="P411" s="21"/>
      <c r="Q411" s="21"/>
    </row>
    <row r="412" spans="1:17" s="19" customFormat="1" ht="22.5" customHeight="1" hidden="1">
      <c r="A412" s="499"/>
      <c r="B412" s="439"/>
      <c r="C412" s="437"/>
      <c r="D412" s="466"/>
      <c r="E412" s="468"/>
      <c r="F412" s="458"/>
      <c r="G412" s="458"/>
      <c r="H412" s="458"/>
      <c r="I412" s="458"/>
      <c r="J412" s="435"/>
      <c r="K412" s="455"/>
      <c r="L412" s="52"/>
      <c r="O412" s="26"/>
      <c r="P412" s="21"/>
      <c r="Q412" s="21"/>
    </row>
    <row r="413" spans="1:17" s="19" customFormat="1" ht="16.5" customHeight="1" hidden="1">
      <c r="A413" s="449" t="s">
        <v>25</v>
      </c>
      <c r="B413" s="438" t="s">
        <v>309</v>
      </c>
      <c r="C413" s="436" t="s">
        <v>253</v>
      </c>
      <c r="D413" s="465">
        <v>2014</v>
      </c>
      <c r="E413" s="467">
        <f>F413+G413+H413+I413</f>
        <v>0</v>
      </c>
      <c r="F413" s="456"/>
      <c r="G413" s="456">
        <v>0</v>
      </c>
      <c r="H413" s="456">
        <v>0</v>
      </c>
      <c r="I413" s="456"/>
      <c r="J413" s="433" t="s">
        <v>26</v>
      </c>
      <c r="K413" s="453" t="s">
        <v>81</v>
      </c>
      <c r="L413" s="52"/>
      <c r="O413" s="26"/>
      <c r="P413" s="21"/>
      <c r="Q413" s="21"/>
    </row>
    <row r="414" spans="1:17" s="19" customFormat="1" ht="16.5" customHeight="1" hidden="1">
      <c r="A414" s="564"/>
      <c r="B414" s="451"/>
      <c r="C414" s="446"/>
      <c r="D414" s="469"/>
      <c r="E414" s="470"/>
      <c r="F414" s="457"/>
      <c r="G414" s="457"/>
      <c r="H414" s="457"/>
      <c r="I414" s="457"/>
      <c r="J414" s="434"/>
      <c r="K414" s="454"/>
      <c r="L414" s="52"/>
      <c r="O414" s="26"/>
      <c r="P414" s="21"/>
      <c r="Q414" s="21"/>
    </row>
    <row r="415" spans="1:17" s="19" customFormat="1" ht="22.5" customHeight="1" hidden="1">
      <c r="A415" s="499"/>
      <c r="B415" s="439"/>
      <c r="C415" s="437"/>
      <c r="D415" s="466"/>
      <c r="E415" s="468"/>
      <c r="F415" s="458"/>
      <c r="G415" s="458"/>
      <c r="H415" s="458"/>
      <c r="I415" s="458"/>
      <c r="J415" s="435"/>
      <c r="K415" s="455"/>
      <c r="L415" s="52"/>
      <c r="O415" s="26"/>
      <c r="P415" s="21"/>
      <c r="Q415" s="21"/>
    </row>
    <row r="416" spans="1:17" s="19" customFormat="1" ht="16.5" customHeight="1" hidden="1">
      <c r="A416" s="449" t="s">
        <v>27</v>
      </c>
      <c r="B416" s="438" t="s">
        <v>309</v>
      </c>
      <c r="C416" s="436" t="s">
        <v>253</v>
      </c>
      <c r="D416" s="465">
        <v>2014</v>
      </c>
      <c r="E416" s="467">
        <f>F416+G416+H416+I416</f>
        <v>0</v>
      </c>
      <c r="F416" s="456"/>
      <c r="G416" s="456">
        <v>0</v>
      </c>
      <c r="H416" s="456">
        <v>0</v>
      </c>
      <c r="I416" s="456"/>
      <c r="J416" s="433" t="s">
        <v>28</v>
      </c>
      <c r="K416" s="453" t="s">
        <v>81</v>
      </c>
      <c r="L416" s="52"/>
      <c r="O416" s="26"/>
      <c r="P416" s="21"/>
      <c r="Q416" s="21"/>
    </row>
    <row r="417" spans="1:17" s="19" customFormat="1" ht="16.5" customHeight="1" hidden="1">
      <c r="A417" s="564"/>
      <c r="B417" s="451"/>
      <c r="C417" s="446"/>
      <c r="D417" s="469"/>
      <c r="E417" s="470"/>
      <c r="F417" s="457"/>
      <c r="G417" s="457"/>
      <c r="H417" s="457"/>
      <c r="I417" s="457"/>
      <c r="J417" s="434"/>
      <c r="K417" s="454"/>
      <c r="L417" s="52"/>
      <c r="O417" s="26"/>
      <c r="P417" s="21"/>
      <c r="Q417" s="21"/>
    </row>
    <row r="418" spans="1:17" s="19" customFormat="1" ht="22.5" customHeight="1" hidden="1">
      <c r="A418" s="499"/>
      <c r="B418" s="439"/>
      <c r="C418" s="437"/>
      <c r="D418" s="466"/>
      <c r="E418" s="468"/>
      <c r="F418" s="458"/>
      <c r="G418" s="458"/>
      <c r="H418" s="458"/>
      <c r="I418" s="458"/>
      <c r="J418" s="435"/>
      <c r="K418" s="455"/>
      <c r="L418" s="52"/>
      <c r="O418" s="26"/>
      <c r="P418" s="21"/>
      <c r="Q418" s="21"/>
    </row>
    <row r="419" spans="1:17" s="19" customFormat="1" ht="16.5" customHeight="1" hidden="1">
      <c r="A419" s="449" t="s">
        <v>29</v>
      </c>
      <c r="B419" s="438" t="s">
        <v>314</v>
      </c>
      <c r="C419" s="436" t="s">
        <v>253</v>
      </c>
      <c r="D419" s="465">
        <v>2014</v>
      </c>
      <c r="E419" s="467">
        <f>F419+G419+H419+I419</f>
        <v>0</v>
      </c>
      <c r="F419" s="456"/>
      <c r="G419" s="456">
        <v>0</v>
      </c>
      <c r="H419" s="456">
        <v>0</v>
      </c>
      <c r="I419" s="456"/>
      <c r="J419" s="433" t="s">
        <v>30</v>
      </c>
      <c r="K419" s="453" t="s">
        <v>81</v>
      </c>
      <c r="L419" s="52"/>
      <c r="O419" s="26"/>
      <c r="P419" s="21"/>
      <c r="Q419" s="21"/>
    </row>
    <row r="420" spans="1:17" s="19" customFormat="1" ht="16.5" customHeight="1" hidden="1">
      <c r="A420" s="564"/>
      <c r="B420" s="451"/>
      <c r="C420" s="446"/>
      <c r="D420" s="469"/>
      <c r="E420" s="470"/>
      <c r="F420" s="457"/>
      <c r="G420" s="457"/>
      <c r="H420" s="457"/>
      <c r="I420" s="457"/>
      <c r="J420" s="434"/>
      <c r="K420" s="454"/>
      <c r="L420" s="52"/>
      <c r="O420" s="26"/>
      <c r="P420" s="21"/>
      <c r="Q420" s="21"/>
    </row>
    <row r="421" spans="1:17" s="19" customFormat="1" ht="22.5" customHeight="1" hidden="1">
      <c r="A421" s="499"/>
      <c r="B421" s="439"/>
      <c r="C421" s="437"/>
      <c r="D421" s="466"/>
      <c r="E421" s="468"/>
      <c r="F421" s="458"/>
      <c r="G421" s="458"/>
      <c r="H421" s="458"/>
      <c r="I421" s="458"/>
      <c r="J421" s="435"/>
      <c r="K421" s="455"/>
      <c r="L421" s="52"/>
      <c r="O421" s="26"/>
      <c r="P421" s="21"/>
      <c r="Q421" s="21"/>
    </row>
    <row r="422" spans="1:17" s="19" customFormat="1" ht="16.5" customHeight="1" hidden="1">
      <c r="A422" s="449" t="s">
        <v>31</v>
      </c>
      <c r="B422" s="438" t="s">
        <v>315</v>
      </c>
      <c r="C422" s="436" t="s">
        <v>253</v>
      </c>
      <c r="D422" s="465">
        <v>2014</v>
      </c>
      <c r="E422" s="467">
        <f>F422+G422+H422+I422</f>
        <v>0</v>
      </c>
      <c r="F422" s="456"/>
      <c r="G422" s="456">
        <v>0</v>
      </c>
      <c r="H422" s="456">
        <v>0</v>
      </c>
      <c r="I422" s="456"/>
      <c r="J422" s="433" t="s">
        <v>30</v>
      </c>
      <c r="K422" s="453" t="s">
        <v>81</v>
      </c>
      <c r="L422" s="52"/>
      <c r="O422" s="26"/>
      <c r="P422" s="21"/>
      <c r="Q422" s="21"/>
    </row>
    <row r="423" spans="1:17" s="19" customFormat="1" ht="16.5" customHeight="1" hidden="1">
      <c r="A423" s="564"/>
      <c r="B423" s="451"/>
      <c r="C423" s="446"/>
      <c r="D423" s="469"/>
      <c r="E423" s="470"/>
      <c r="F423" s="457"/>
      <c r="G423" s="457"/>
      <c r="H423" s="457"/>
      <c r="I423" s="457"/>
      <c r="J423" s="434"/>
      <c r="K423" s="454"/>
      <c r="L423" s="52"/>
      <c r="O423" s="26"/>
      <c r="P423" s="21"/>
      <c r="Q423" s="21"/>
    </row>
    <row r="424" spans="1:17" s="19" customFormat="1" ht="22.5" customHeight="1" hidden="1">
      <c r="A424" s="499"/>
      <c r="B424" s="439"/>
      <c r="C424" s="437"/>
      <c r="D424" s="466"/>
      <c r="E424" s="468"/>
      <c r="F424" s="458"/>
      <c r="G424" s="458"/>
      <c r="H424" s="458"/>
      <c r="I424" s="458"/>
      <c r="J424" s="435"/>
      <c r="K424" s="455"/>
      <c r="L424" s="52"/>
      <c r="O424" s="26"/>
      <c r="P424" s="21"/>
      <c r="Q424" s="21"/>
    </row>
    <row r="425" spans="1:17" s="29" customFormat="1" ht="18" customHeight="1" hidden="1">
      <c r="A425" s="449" t="s">
        <v>35</v>
      </c>
      <c r="B425" s="438" t="s">
        <v>344</v>
      </c>
      <c r="C425" s="436" t="s">
        <v>253</v>
      </c>
      <c r="D425" s="465">
        <v>2014</v>
      </c>
      <c r="E425" s="467">
        <f>F425+G425+H425+I425</f>
        <v>0</v>
      </c>
      <c r="F425" s="456"/>
      <c r="G425" s="456">
        <f>15000-8000-200-6800</f>
        <v>0</v>
      </c>
      <c r="H425" s="456">
        <f>790-790</f>
        <v>0</v>
      </c>
      <c r="I425" s="456"/>
      <c r="J425" s="433"/>
      <c r="K425" s="453" t="s">
        <v>81</v>
      </c>
      <c r="L425" s="52"/>
      <c r="O425" s="30"/>
      <c r="P425" s="31"/>
      <c r="Q425" s="31"/>
    </row>
    <row r="426" spans="1:17" s="29" customFormat="1" ht="16.5" customHeight="1" hidden="1">
      <c r="A426" s="450"/>
      <c r="B426" s="451"/>
      <c r="C426" s="446"/>
      <c r="D426" s="469"/>
      <c r="E426" s="470"/>
      <c r="F426" s="457"/>
      <c r="G426" s="457"/>
      <c r="H426" s="457"/>
      <c r="I426" s="457"/>
      <c r="J426" s="434"/>
      <c r="K426" s="454"/>
      <c r="L426" s="52"/>
      <c r="O426" s="30"/>
      <c r="P426" s="31"/>
      <c r="Q426" s="31"/>
    </row>
    <row r="427" spans="1:17" s="29" customFormat="1" ht="16.5" customHeight="1" hidden="1">
      <c r="A427" s="450"/>
      <c r="B427" s="451"/>
      <c r="C427" s="446"/>
      <c r="D427" s="469"/>
      <c r="E427" s="470"/>
      <c r="F427" s="457"/>
      <c r="G427" s="457"/>
      <c r="H427" s="457"/>
      <c r="I427" s="457"/>
      <c r="J427" s="434"/>
      <c r="K427" s="454"/>
      <c r="L427" s="52"/>
      <c r="O427" s="30"/>
      <c r="P427" s="31"/>
      <c r="Q427" s="31"/>
    </row>
    <row r="428" spans="1:17" s="29" customFormat="1" ht="16.5" customHeight="1" hidden="1">
      <c r="A428" s="452"/>
      <c r="B428" s="439"/>
      <c r="C428" s="437"/>
      <c r="D428" s="466"/>
      <c r="E428" s="468"/>
      <c r="F428" s="458"/>
      <c r="G428" s="458"/>
      <c r="H428" s="458"/>
      <c r="I428" s="458"/>
      <c r="J428" s="435"/>
      <c r="K428" s="455"/>
      <c r="L428" s="52"/>
      <c r="O428" s="30"/>
      <c r="P428" s="31"/>
      <c r="Q428" s="31"/>
    </row>
    <row r="429" spans="1:17" s="29" customFormat="1" ht="18" customHeight="1">
      <c r="A429" s="449" t="s">
        <v>552</v>
      </c>
      <c r="B429" s="438" t="s">
        <v>32</v>
      </c>
      <c r="C429" s="436" t="s">
        <v>253</v>
      </c>
      <c r="D429" s="465">
        <v>2014</v>
      </c>
      <c r="E429" s="467">
        <f>F429+G429+H429+I429</f>
        <v>6333.599999999999</v>
      </c>
      <c r="F429" s="456">
        <v>6016.9</v>
      </c>
      <c r="G429" s="456">
        <f>1995-1995</f>
        <v>0</v>
      </c>
      <c r="H429" s="456">
        <v>316.7</v>
      </c>
      <c r="I429" s="456"/>
      <c r="J429" s="433" t="s">
        <v>284</v>
      </c>
      <c r="K429" s="453" t="s">
        <v>81</v>
      </c>
      <c r="L429" s="52"/>
      <c r="O429" s="30"/>
      <c r="P429" s="31"/>
      <c r="Q429" s="31"/>
    </row>
    <row r="430" spans="1:17" s="29" customFormat="1" ht="16.5" customHeight="1">
      <c r="A430" s="450"/>
      <c r="B430" s="451"/>
      <c r="C430" s="446"/>
      <c r="D430" s="469"/>
      <c r="E430" s="470"/>
      <c r="F430" s="457"/>
      <c r="G430" s="457"/>
      <c r="H430" s="457"/>
      <c r="I430" s="457"/>
      <c r="J430" s="434"/>
      <c r="K430" s="454"/>
      <c r="L430" s="52"/>
      <c r="O430" s="30"/>
      <c r="P430" s="31"/>
      <c r="Q430" s="31"/>
    </row>
    <row r="431" spans="1:17" s="29" customFormat="1" ht="21.75" customHeight="1">
      <c r="A431" s="450"/>
      <c r="B431" s="451"/>
      <c r="C431" s="446"/>
      <c r="D431" s="466"/>
      <c r="E431" s="468"/>
      <c r="F431" s="458"/>
      <c r="G431" s="458"/>
      <c r="H431" s="458"/>
      <c r="I431" s="458"/>
      <c r="J431" s="434"/>
      <c r="K431" s="454"/>
      <c r="L431" s="52"/>
      <c r="O431" s="30"/>
      <c r="P431" s="31"/>
      <c r="Q431" s="31"/>
    </row>
    <row r="432" spans="1:17" s="29" customFormat="1" ht="24.75" customHeight="1">
      <c r="A432" s="452"/>
      <c r="B432" s="439"/>
      <c r="C432" s="437"/>
      <c r="D432" s="210">
        <v>2015</v>
      </c>
      <c r="E432" s="177">
        <f>F432+G432+H432</f>
        <v>4417.9</v>
      </c>
      <c r="F432" s="196">
        <v>4197</v>
      </c>
      <c r="G432" s="196"/>
      <c r="H432" s="196">
        <v>220.9</v>
      </c>
      <c r="I432" s="196"/>
      <c r="J432" s="435"/>
      <c r="K432" s="455"/>
      <c r="L432" s="52"/>
      <c r="O432" s="30"/>
      <c r="P432" s="31"/>
      <c r="Q432" s="31"/>
    </row>
    <row r="433" spans="1:17" s="29" customFormat="1" ht="24.75" customHeight="1">
      <c r="A433" s="449" t="s">
        <v>553</v>
      </c>
      <c r="B433" s="438" t="s">
        <v>32</v>
      </c>
      <c r="C433" s="436" t="s">
        <v>253</v>
      </c>
      <c r="D433" s="465">
        <v>2014</v>
      </c>
      <c r="E433" s="467">
        <f>F433+G433+H433+I433</f>
        <v>2217.9</v>
      </c>
      <c r="F433" s="456">
        <v>2107</v>
      </c>
      <c r="G433" s="456"/>
      <c r="H433" s="456">
        <v>110.9</v>
      </c>
      <c r="I433" s="456"/>
      <c r="J433" s="433" t="s">
        <v>33</v>
      </c>
      <c r="K433" s="453" t="s">
        <v>81</v>
      </c>
      <c r="L433" s="52"/>
      <c r="O433" s="30"/>
      <c r="P433" s="31"/>
      <c r="Q433" s="31"/>
    </row>
    <row r="434" spans="1:17" s="29" customFormat="1" ht="15" customHeight="1">
      <c r="A434" s="564"/>
      <c r="B434" s="451"/>
      <c r="C434" s="446"/>
      <c r="D434" s="469"/>
      <c r="E434" s="470"/>
      <c r="F434" s="457"/>
      <c r="G434" s="457"/>
      <c r="H434" s="457"/>
      <c r="I434" s="457"/>
      <c r="J434" s="434"/>
      <c r="K434" s="454"/>
      <c r="L434" s="52"/>
      <c r="O434" s="30"/>
      <c r="P434" s="31"/>
      <c r="Q434" s="31"/>
    </row>
    <row r="435" spans="1:17" s="29" customFormat="1" ht="39" customHeight="1">
      <c r="A435" s="499"/>
      <c r="B435" s="439"/>
      <c r="C435" s="437"/>
      <c r="D435" s="466"/>
      <c r="E435" s="468"/>
      <c r="F435" s="458"/>
      <c r="G435" s="458"/>
      <c r="H435" s="458"/>
      <c r="I435" s="458"/>
      <c r="J435" s="435"/>
      <c r="K435" s="455"/>
      <c r="L435" s="52"/>
      <c r="O435" s="30"/>
      <c r="P435" s="31"/>
      <c r="Q435" s="31"/>
    </row>
    <row r="436" spans="1:17" s="29" customFormat="1" ht="18" customHeight="1">
      <c r="A436" s="449" t="s">
        <v>554</v>
      </c>
      <c r="B436" s="438" t="s">
        <v>32</v>
      </c>
      <c r="C436" s="436" t="s">
        <v>253</v>
      </c>
      <c r="D436" s="465">
        <v>2014</v>
      </c>
      <c r="E436" s="467">
        <f>F436+G436+H436+I436</f>
        <v>8207.7</v>
      </c>
      <c r="F436" s="456">
        <v>7797.3</v>
      </c>
      <c r="G436" s="456"/>
      <c r="H436" s="456">
        <v>410.4</v>
      </c>
      <c r="I436" s="456"/>
      <c r="J436" s="433" t="s">
        <v>283</v>
      </c>
      <c r="K436" s="453" t="s">
        <v>81</v>
      </c>
      <c r="L436" s="52"/>
      <c r="O436" s="30"/>
      <c r="P436" s="31"/>
      <c r="Q436" s="31"/>
    </row>
    <row r="437" spans="1:17" s="29" customFormat="1" ht="16.5" customHeight="1">
      <c r="A437" s="564"/>
      <c r="B437" s="451"/>
      <c r="C437" s="446"/>
      <c r="D437" s="469"/>
      <c r="E437" s="470"/>
      <c r="F437" s="457"/>
      <c r="G437" s="457"/>
      <c r="H437" s="457"/>
      <c r="I437" s="457"/>
      <c r="J437" s="434"/>
      <c r="K437" s="454"/>
      <c r="L437" s="52"/>
      <c r="O437" s="30"/>
      <c r="P437" s="31"/>
      <c r="Q437" s="31"/>
    </row>
    <row r="438" spans="1:17" s="29" customFormat="1" ht="47.25" customHeight="1">
      <c r="A438" s="499"/>
      <c r="B438" s="439"/>
      <c r="C438" s="437"/>
      <c r="D438" s="466"/>
      <c r="E438" s="468"/>
      <c r="F438" s="458"/>
      <c r="G438" s="458"/>
      <c r="H438" s="458"/>
      <c r="I438" s="458"/>
      <c r="J438" s="435"/>
      <c r="K438" s="455"/>
      <c r="L438" s="52"/>
      <c r="O438" s="30"/>
      <c r="P438" s="31"/>
      <c r="Q438" s="31"/>
    </row>
    <row r="439" spans="1:17" s="29" customFormat="1" ht="16.5" customHeight="1" hidden="1">
      <c r="A439" s="327"/>
      <c r="B439" s="95"/>
      <c r="C439" s="89"/>
      <c r="D439" s="328"/>
      <c r="E439" s="102"/>
      <c r="F439" s="310"/>
      <c r="G439" s="196"/>
      <c r="H439" s="196"/>
      <c r="I439" s="310"/>
      <c r="J439" s="99"/>
      <c r="K439" s="173"/>
      <c r="L439" s="52"/>
      <c r="O439" s="30"/>
      <c r="P439" s="31"/>
      <c r="Q439" s="31"/>
    </row>
    <row r="440" spans="1:17" s="29" customFormat="1" ht="16.5" customHeight="1" hidden="1">
      <c r="A440" s="327"/>
      <c r="B440" s="95"/>
      <c r="C440" s="89"/>
      <c r="D440" s="328"/>
      <c r="E440" s="102"/>
      <c r="F440" s="310"/>
      <c r="G440" s="196"/>
      <c r="H440" s="196"/>
      <c r="I440" s="310"/>
      <c r="J440" s="99"/>
      <c r="K440" s="173"/>
      <c r="L440" s="52"/>
      <c r="O440" s="30"/>
      <c r="P440" s="31"/>
      <c r="Q440" s="31"/>
    </row>
    <row r="441" spans="1:17" s="19" customFormat="1" ht="16.5" customHeight="1" hidden="1">
      <c r="A441" s="327"/>
      <c r="B441" s="95"/>
      <c r="C441" s="89"/>
      <c r="D441" s="324"/>
      <c r="E441" s="102"/>
      <c r="F441" s="92"/>
      <c r="G441" s="98"/>
      <c r="H441" s="98"/>
      <c r="I441" s="92"/>
      <c r="J441" s="99"/>
      <c r="K441" s="173"/>
      <c r="L441" s="52"/>
      <c r="O441" s="26"/>
      <c r="P441" s="21"/>
      <c r="Q441" s="21"/>
    </row>
    <row r="442" spans="1:17" s="19" customFormat="1" ht="16.5" customHeight="1" hidden="1">
      <c r="A442" s="327"/>
      <c r="B442" s="95"/>
      <c r="C442" s="89"/>
      <c r="D442" s="324"/>
      <c r="E442" s="102"/>
      <c r="F442" s="92"/>
      <c r="G442" s="98"/>
      <c r="H442" s="98"/>
      <c r="I442" s="92"/>
      <c r="J442" s="99"/>
      <c r="K442" s="173"/>
      <c r="L442" s="52"/>
      <c r="O442" s="26"/>
      <c r="P442" s="21"/>
      <c r="Q442" s="21"/>
    </row>
    <row r="443" spans="1:17" s="19" customFormat="1" ht="16.5" customHeight="1" hidden="1">
      <c r="A443" s="327"/>
      <c r="B443" s="95"/>
      <c r="C443" s="89"/>
      <c r="D443" s="324"/>
      <c r="E443" s="102"/>
      <c r="F443" s="92"/>
      <c r="G443" s="98"/>
      <c r="H443" s="98"/>
      <c r="I443" s="92"/>
      <c r="J443" s="99"/>
      <c r="K443" s="173"/>
      <c r="L443" s="52"/>
      <c r="O443" s="26"/>
      <c r="P443" s="21"/>
      <c r="Q443" s="21"/>
    </row>
    <row r="444" spans="1:17" s="19" customFormat="1" ht="16.5" customHeight="1" hidden="1">
      <c r="A444" s="327"/>
      <c r="B444" s="95"/>
      <c r="C444" s="89"/>
      <c r="D444" s="324"/>
      <c r="E444" s="177"/>
      <c r="F444" s="92"/>
      <c r="G444" s="98"/>
      <c r="H444" s="98"/>
      <c r="I444" s="92"/>
      <c r="J444" s="99"/>
      <c r="K444" s="173"/>
      <c r="L444" s="52"/>
      <c r="O444" s="26"/>
      <c r="P444" s="21"/>
      <c r="Q444" s="21"/>
    </row>
    <row r="445" spans="1:17" s="19" customFormat="1" ht="16.5" customHeight="1">
      <c r="A445" s="449" t="s">
        <v>555</v>
      </c>
      <c r="B445" s="438" t="s">
        <v>309</v>
      </c>
      <c r="C445" s="436" t="s">
        <v>253</v>
      </c>
      <c r="D445" s="324">
        <v>2014</v>
      </c>
      <c r="E445" s="97">
        <f>G445+H445</f>
        <v>2494</v>
      </c>
      <c r="F445" s="92"/>
      <c r="G445" s="98">
        <f>2374</f>
        <v>2374</v>
      </c>
      <c r="H445" s="98">
        <f>120</f>
        <v>120</v>
      </c>
      <c r="I445" s="92"/>
      <c r="J445" s="433"/>
      <c r="K445" s="467" t="s">
        <v>81</v>
      </c>
      <c r="L445" s="52"/>
      <c r="O445" s="26"/>
      <c r="P445" s="21"/>
      <c r="Q445" s="21"/>
    </row>
    <row r="446" spans="1:17" s="19" customFormat="1" ht="28.5" customHeight="1">
      <c r="A446" s="450"/>
      <c r="B446" s="451"/>
      <c r="C446" s="446"/>
      <c r="D446" s="465">
        <v>2015</v>
      </c>
      <c r="E446" s="467">
        <f>G446+H446+I447+F447</f>
        <v>998.4</v>
      </c>
      <c r="F446" s="456"/>
      <c r="G446" s="456">
        <f>19600-4500-5000-9226.5</f>
        <v>873.5</v>
      </c>
      <c r="H446" s="456">
        <v>124.9</v>
      </c>
      <c r="I446" s="456"/>
      <c r="J446" s="434"/>
      <c r="K446" s="470"/>
      <c r="L446" s="52"/>
      <c r="O446" s="26"/>
      <c r="P446" s="21"/>
      <c r="Q446" s="21"/>
    </row>
    <row r="447" spans="1:17" s="19" customFormat="1" ht="33.75" customHeight="1">
      <c r="A447" s="450"/>
      <c r="B447" s="451"/>
      <c r="C447" s="446"/>
      <c r="D447" s="466"/>
      <c r="E447" s="468"/>
      <c r="F447" s="458"/>
      <c r="G447" s="458"/>
      <c r="H447" s="458"/>
      <c r="I447" s="458"/>
      <c r="J447" s="434"/>
      <c r="K447" s="470"/>
      <c r="L447" s="52"/>
      <c r="O447" s="26"/>
      <c r="P447" s="21"/>
      <c r="Q447" s="21"/>
    </row>
    <row r="448" spans="1:17" s="19" customFormat="1" ht="19.5" customHeight="1" hidden="1">
      <c r="A448" s="450"/>
      <c r="B448" s="451"/>
      <c r="C448" s="446"/>
      <c r="D448" s="324">
        <v>2016</v>
      </c>
      <c r="E448" s="102">
        <f>G448+H448+I448+F448</f>
        <v>1050</v>
      </c>
      <c r="F448" s="265"/>
      <c r="G448" s="107">
        <f>19600+3500-22100</f>
        <v>1000</v>
      </c>
      <c r="H448" s="107">
        <f>1000-950</f>
        <v>50</v>
      </c>
      <c r="I448" s="92"/>
      <c r="J448" s="434"/>
      <c r="K448" s="470"/>
      <c r="L448" s="52"/>
      <c r="O448" s="26"/>
      <c r="P448" s="21"/>
      <c r="Q448" s="21"/>
    </row>
    <row r="449" spans="1:17" s="19" customFormat="1" ht="19.5" customHeight="1" hidden="1">
      <c r="A449" s="452"/>
      <c r="B449" s="439"/>
      <c r="C449" s="437"/>
      <c r="D449" s="215">
        <v>2017</v>
      </c>
      <c r="E449" s="102">
        <f>G449+H449</f>
        <v>23050</v>
      </c>
      <c r="F449" s="265"/>
      <c r="G449" s="107">
        <v>22100</v>
      </c>
      <c r="H449" s="107">
        <v>950</v>
      </c>
      <c r="I449" s="216"/>
      <c r="J449" s="435"/>
      <c r="K449" s="468"/>
      <c r="L449" s="52"/>
      <c r="O449" s="26"/>
      <c r="P449" s="21"/>
      <c r="Q449" s="21"/>
    </row>
    <row r="450" spans="1:17" s="38" customFormat="1" ht="34.5" customHeight="1">
      <c r="A450" s="449" t="s">
        <v>556</v>
      </c>
      <c r="B450" s="565" t="s">
        <v>310</v>
      </c>
      <c r="C450" s="87" t="s">
        <v>253</v>
      </c>
      <c r="D450" s="324">
        <v>2014</v>
      </c>
      <c r="E450" s="102">
        <f>F450+G450+H450</f>
        <v>13000</v>
      </c>
      <c r="F450" s="265"/>
      <c r="G450" s="107">
        <f>3112+15000-5762</f>
        <v>12350</v>
      </c>
      <c r="H450" s="107">
        <f>1653-1000-3</f>
        <v>650</v>
      </c>
      <c r="I450" s="92"/>
      <c r="J450" s="433" t="s">
        <v>267</v>
      </c>
      <c r="K450" s="97" t="s">
        <v>81</v>
      </c>
      <c r="L450" s="58"/>
      <c r="O450" s="40"/>
      <c r="P450" s="43"/>
      <c r="Q450" s="43"/>
    </row>
    <row r="451" spans="1:17" s="38" customFormat="1" ht="29.25" customHeight="1">
      <c r="A451" s="450"/>
      <c r="B451" s="578"/>
      <c r="C451" s="329"/>
      <c r="D451" s="465">
        <v>2015</v>
      </c>
      <c r="E451" s="467">
        <f>G451+H451+I451+F451</f>
        <v>360.5</v>
      </c>
      <c r="F451" s="467"/>
      <c r="G451" s="467">
        <f>10850+4875-15335-60</f>
        <v>330</v>
      </c>
      <c r="H451" s="467">
        <f>540-509.5</f>
        <v>30.5</v>
      </c>
      <c r="I451" s="456"/>
      <c r="J451" s="434"/>
      <c r="K451" s="330"/>
      <c r="L451" s="58"/>
      <c r="O451" s="40"/>
      <c r="P451" s="43"/>
      <c r="Q451" s="43"/>
    </row>
    <row r="452" spans="1:17" s="38" customFormat="1" ht="29.25" customHeight="1">
      <c r="A452" s="452"/>
      <c r="B452" s="566"/>
      <c r="C452" s="331"/>
      <c r="D452" s="466"/>
      <c r="E452" s="468"/>
      <c r="F452" s="468"/>
      <c r="G452" s="468"/>
      <c r="H452" s="468"/>
      <c r="I452" s="458"/>
      <c r="J452" s="435"/>
      <c r="K452" s="102"/>
      <c r="L452" s="58"/>
      <c r="O452" s="40"/>
      <c r="P452" s="43"/>
      <c r="Q452" s="43"/>
    </row>
    <row r="453" spans="1:17" s="38" customFormat="1" ht="75.75" customHeight="1">
      <c r="A453" s="449" t="s">
        <v>557</v>
      </c>
      <c r="B453" s="438" t="s">
        <v>311</v>
      </c>
      <c r="C453" s="436" t="s">
        <v>253</v>
      </c>
      <c r="D453" s="465">
        <v>2015</v>
      </c>
      <c r="E453" s="467">
        <f>G453+H453+I454+F453</f>
        <v>2526.500000000001</v>
      </c>
      <c r="F453" s="467">
        <f>26587-26587</f>
        <v>0</v>
      </c>
      <c r="G453" s="467">
        <f>24500-22731+2401+27000-28769.8</f>
        <v>2400.2000000000007</v>
      </c>
      <c r="H453" s="467">
        <v>126.3</v>
      </c>
      <c r="I453" s="456"/>
      <c r="J453" s="433"/>
      <c r="K453" s="467" t="s">
        <v>81</v>
      </c>
      <c r="L453" s="58"/>
      <c r="O453" s="40"/>
      <c r="P453" s="43"/>
      <c r="Q453" s="43"/>
    </row>
    <row r="454" spans="1:17" s="38" customFormat="1" ht="0.75" customHeight="1">
      <c r="A454" s="450"/>
      <c r="B454" s="451"/>
      <c r="C454" s="446"/>
      <c r="D454" s="466"/>
      <c r="E454" s="468"/>
      <c r="F454" s="468"/>
      <c r="G454" s="468"/>
      <c r="H454" s="468"/>
      <c r="I454" s="458"/>
      <c r="J454" s="434"/>
      <c r="K454" s="470"/>
      <c r="L454" s="58"/>
      <c r="O454" s="40"/>
      <c r="P454" s="43"/>
      <c r="Q454" s="43"/>
    </row>
    <row r="455" spans="1:17" s="38" customFormat="1" ht="23.25" customHeight="1" hidden="1">
      <c r="A455" s="450"/>
      <c r="B455" s="451"/>
      <c r="C455" s="446"/>
      <c r="D455" s="324">
        <v>2016</v>
      </c>
      <c r="E455" s="102">
        <f>G455+H455+I455+F455</f>
        <v>6259.9000000000015</v>
      </c>
      <c r="F455" s="85">
        <f>27339-27339</f>
        <v>0</v>
      </c>
      <c r="G455" s="85">
        <f>29000-23086.1</f>
        <v>5913.9000000000015</v>
      </c>
      <c r="H455" s="85">
        <f>346</f>
        <v>346</v>
      </c>
      <c r="I455" s="92"/>
      <c r="J455" s="434"/>
      <c r="K455" s="470"/>
      <c r="L455" s="58"/>
      <c r="O455" s="40"/>
      <c r="P455" s="43"/>
      <c r="Q455" s="43"/>
    </row>
    <row r="456" spans="1:17" s="38" customFormat="1" ht="23.25" customHeight="1" hidden="1">
      <c r="A456" s="450"/>
      <c r="B456" s="451"/>
      <c r="C456" s="446"/>
      <c r="D456" s="211">
        <v>2017</v>
      </c>
      <c r="E456" s="85">
        <f>G456+H456</f>
        <v>15790</v>
      </c>
      <c r="F456" s="85"/>
      <c r="G456" s="85">
        <v>15000</v>
      </c>
      <c r="H456" s="85">
        <v>790</v>
      </c>
      <c r="I456" s="107"/>
      <c r="J456" s="434"/>
      <c r="K456" s="470"/>
      <c r="L456" s="58"/>
      <c r="O456" s="40"/>
      <c r="P456" s="43"/>
      <c r="Q456" s="43"/>
    </row>
    <row r="457" spans="1:17" s="38" customFormat="1" ht="23.25" customHeight="1" hidden="1">
      <c r="A457" s="452"/>
      <c r="B457" s="439"/>
      <c r="C457" s="437"/>
      <c r="D457" s="328">
        <v>2018</v>
      </c>
      <c r="E457" s="177">
        <f>F457+G457+H457</f>
        <v>24301.1</v>
      </c>
      <c r="F457" s="177"/>
      <c r="G457" s="177">
        <v>23086.1</v>
      </c>
      <c r="H457" s="177">
        <v>1215</v>
      </c>
      <c r="I457" s="310"/>
      <c r="J457" s="435"/>
      <c r="K457" s="468"/>
      <c r="L457" s="58"/>
      <c r="O457" s="40"/>
      <c r="P457" s="43"/>
      <c r="Q457" s="43"/>
    </row>
    <row r="458" spans="1:17" s="19" customFormat="1" ht="23.25" customHeight="1" hidden="1">
      <c r="A458" s="449" t="s">
        <v>121</v>
      </c>
      <c r="B458" s="438" t="s">
        <v>312</v>
      </c>
      <c r="C458" s="436" t="s">
        <v>253</v>
      </c>
      <c r="D458" s="465">
        <v>2017</v>
      </c>
      <c r="E458" s="467">
        <f>G458+H458</f>
        <v>9054.400000000001</v>
      </c>
      <c r="F458" s="467"/>
      <c r="G458" s="467">
        <f>34456-17465.1-8386.5</f>
        <v>8604.400000000001</v>
      </c>
      <c r="H458" s="467">
        <f>1500-1050</f>
        <v>450</v>
      </c>
      <c r="I458" s="456"/>
      <c r="J458" s="433" t="s">
        <v>267</v>
      </c>
      <c r="K458" s="467" t="s">
        <v>81</v>
      </c>
      <c r="L458" s="52"/>
      <c r="O458" s="26"/>
      <c r="P458" s="21"/>
      <c r="Q458" s="21"/>
    </row>
    <row r="459" spans="1:17" s="19" customFormat="1" ht="15.75" customHeight="1" hidden="1">
      <c r="A459" s="450"/>
      <c r="B459" s="451"/>
      <c r="C459" s="446"/>
      <c r="D459" s="469"/>
      <c r="E459" s="470"/>
      <c r="F459" s="470"/>
      <c r="G459" s="470"/>
      <c r="H459" s="470"/>
      <c r="I459" s="457"/>
      <c r="J459" s="434"/>
      <c r="K459" s="470"/>
      <c r="L459" s="52"/>
      <c r="O459" s="26"/>
      <c r="P459" s="21"/>
      <c r="Q459" s="21"/>
    </row>
    <row r="460" spans="1:17" s="19" customFormat="1" ht="6.75" customHeight="1" hidden="1">
      <c r="A460" s="450"/>
      <c r="B460" s="451"/>
      <c r="C460" s="446"/>
      <c r="D460" s="466"/>
      <c r="E460" s="468"/>
      <c r="F460" s="468"/>
      <c r="G460" s="468"/>
      <c r="H460" s="468"/>
      <c r="I460" s="458"/>
      <c r="J460" s="434"/>
      <c r="K460" s="470"/>
      <c r="L460" s="52"/>
      <c r="O460" s="26"/>
      <c r="P460" s="21"/>
      <c r="Q460" s="21"/>
    </row>
    <row r="461" spans="1:17" s="19" customFormat="1" ht="49.5" customHeight="1" hidden="1">
      <c r="A461" s="452"/>
      <c r="B461" s="439"/>
      <c r="C461" s="437"/>
      <c r="D461" s="328">
        <v>2018</v>
      </c>
      <c r="E461" s="102">
        <f>G461+H461</f>
        <v>18515.1</v>
      </c>
      <c r="F461" s="102"/>
      <c r="G461" s="102">
        <v>17465.1</v>
      </c>
      <c r="H461" s="102">
        <v>1050</v>
      </c>
      <c r="I461" s="310"/>
      <c r="J461" s="435"/>
      <c r="K461" s="468"/>
      <c r="L461" s="52"/>
      <c r="O461" s="26"/>
      <c r="P461" s="21"/>
      <c r="Q461" s="21"/>
    </row>
    <row r="462" spans="1:17" s="19" customFormat="1" ht="57.75" customHeight="1">
      <c r="A462" s="449" t="s">
        <v>558</v>
      </c>
      <c r="B462" s="438" t="s">
        <v>313</v>
      </c>
      <c r="C462" s="436" t="s">
        <v>253</v>
      </c>
      <c r="D462" s="324">
        <v>2014</v>
      </c>
      <c r="E462" s="102">
        <f>F462+G462+H462</f>
        <v>1972</v>
      </c>
      <c r="F462" s="85"/>
      <c r="G462" s="85">
        <f>1872</f>
        <v>1872</v>
      </c>
      <c r="H462" s="85">
        <f>100</f>
        <v>100</v>
      </c>
      <c r="I462" s="92"/>
      <c r="J462" s="433"/>
      <c r="K462" s="467" t="s">
        <v>81</v>
      </c>
      <c r="L462" s="52"/>
      <c r="O462" s="26"/>
      <c r="P462" s="21"/>
      <c r="Q462" s="21"/>
    </row>
    <row r="463" spans="1:17" s="19" customFormat="1" ht="46.5" customHeight="1">
      <c r="A463" s="450"/>
      <c r="B463" s="451"/>
      <c r="C463" s="446"/>
      <c r="D463" s="324">
        <v>2015</v>
      </c>
      <c r="E463" s="85">
        <f>G463+H463+I463+F463</f>
        <v>16084.1</v>
      </c>
      <c r="F463" s="85"/>
      <c r="G463" s="85">
        <f>14000-3000+2504.9-60.3+2539.5</f>
        <v>15984.1</v>
      </c>
      <c r="H463" s="85">
        <f>500-400</f>
        <v>100</v>
      </c>
      <c r="I463" s="92"/>
      <c r="J463" s="434"/>
      <c r="K463" s="470"/>
      <c r="L463" s="52"/>
      <c r="O463" s="26"/>
      <c r="P463" s="21"/>
      <c r="Q463" s="21"/>
    </row>
    <row r="464" spans="1:17" s="19" customFormat="1" ht="20.25" customHeight="1" hidden="1">
      <c r="A464" s="450"/>
      <c r="B464" s="451"/>
      <c r="C464" s="446"/>
      <c r="D464" s="215">
        <v>2016</v>
      </c>
      <c r="E464" s="102">
        <f>G464+H464+I464+F464</f>
        <v>1760</v>
      </c>
      <c r="F464" s="85"/>
      <c r="G464" s="85">
        <f>8785.1-7785.1</f>
        <v>1000</v>
      </c>
      <c r="H464" s="85">
        <f>500+260</f>
        <v>760</v>
      </c>
      <c r="I464" s="216"/>
      <c r="J464" s="434"/>
      <c r="K464" s="470"/>
      <c r="L464" s="52"/>
      <c r="O464" s="26"/>
      <c r="P464" s="21"/>
      <c r="Q464" s="21"/>
    </row>
    <row r="465" spans="1:17" s="19" customFormat="1" ht="18.75" customHeight="1" hidden="1">
      <c r="A465" s="452"/>
      <c r="B465" s="439"/>
      <c r="C465" s="437"/>
      <c r="D465" s="324">
        <v>2017</v>
      </c>
      <c r="E465" s="177">
        <v>0</v>
      </c>
      <c r="F465" s="97"/>
      <c r="G465" s="97">
        <v>0</v>
      </c>
      <c r="H465" s="97">
        <v>0</v>
      </c>
      <c r="I465" s="92"/>
      <c r="J465" s="435"/>
      <c r="K465" s="468"/>
      <c r="L465" s="52"/>
      <c r="O465" s="26"/>
      <c r="P465" s="21"/>
      <c r="Q465" s="21"/>
    </row>
    <row r="466" spans="1:17" s="19" customFormat="1" ht="24.75" customHeight="1" hidden="1">
      <c r="A466" s="449" t="s">
        <v>122</v>
      </c>
      <c r="B466" s="438" t="s">
        <v>309</v>
      </c>
      <c r="C466" s="436" t="s">
        <v>253</v>
      </c>
      <c r="D466" s="465">
        <v>2015</v>
      </c>
      <c r="E466" s="467">
        <f>G466+H466+I467+F467</f>
        <v>0</v>
      </c>
      <c r="F466" s="467"/>
      <c r="G466" s="467">
        <f>1750-460-1290</f>
        <v>0</v>
      </c>
      <c r="H466" s="467">
        <f>91-21-70</f>
        <v>0</v>
      </c>
      <c r="I466" s="456"/>
      <c r="J466" s="433" t="s">
        <v>28</v>
      </c>
      <c r="K466" s="467" t="s">
        <v>81</v>
      </c>
      <c r="L466" s="52"/>
      <c r="O466" s="26"/>
      <c r="P466" s="21"/>
      <c r="Q466" s="21"/>
    </row>
    <row r="467" spans="1:17" s="19" customFormat="1" ht="12" customHeight="1" hidden="1">
      <c r="A467" s="450"/>
      <c r="B467" s="451"/>
      <c r="C467" s="446"/>
      <c r="D467" s="466"/>
      <c r="E467" s="468"/>
      <c r="F467" s="468"/>
      <c r="G467" s="468"/>
      <c r="H467" s="468"/>
      <c r="I467" s="458"/>
      <c r="J467" s="434"/>
      <c r="K467" s="470"/>
      <c r="L467" s="52"/>
      <c r="O467" s="26"/>
      <c r="P467" s="21"/>
      <c r="Q467" s="21"/>
    </row>
    <row r="468" spans="1:17" s="19" customFormat="1" ht="23.25" customHeight="1" hidden="1">
      <c r="A468" s="450"/>
      <c r="B468" s="451"/>
      <c r="C468" s="446"/>
      <c r="D468" s="324">
        <v>2016</v>
      </c>
      <c r="E468" s="102">
        <f>G468+H468+I468+F468</f>
        <v>1360</v>
      </c>
      <c r="F468" s="85"/>
      <c r="G468" s="85">
        <f>1750+5250-6000+290</f>
        <v>1290</v>
      </c>
      <c r="H468" s="85">
        <v>70</v>
      </c>
      <c r="I468" s="92"/>
      <c r="J468" s="434"/>
      <c r="K468" s="470"/>
      <c r="L468" s="52"/>
      <c r="O468" s="26"/>
      <c r="P468" s="21"/>
      <c r="Q468" s="21"/>
    </row>
    <row r="469" spans="1:17" s="19" customFormat="1" ht="23.25" customHeight="1" hidden="1">
      <c r="A469" s="452"/>
      <c r="B469" s="439"/>
      <c r="C469" s="437"/>
      <c r="D469" s="324">
        <v>2017</v>
      </c>
      <c r="E469" s="102">
        <f>G469+H469</f>
        <v>6150</v>
      </c>
      <c r="F469" s="85"/>
      <c r="G469" s="85">
        <v>6000</v>
      </c>
      <c r="H469" s="85">
        <v>150</v>
      </c>
      <c r="I469" s="92"/>
      <c r="J469" s="435"/>
      <c r="K469" s="468"/>
      <c r="L469" s="52"/>
      <c r="O469" s="26"/>
      <c r="P469" s="21"/>
      <c r="Q469" s="21"/>
    </row>
    <row r="470" spans="1:17" s="19" customFormat="1" ht="51.75" customHeight="1">
      <c r="A470" s="524" t="s">
        <v>559</v>
      </c>
      <c r="B470" s="516" t="s">
        <v>314</v>
      </c>
      <c r="C470" s="436" t="s">
        <v>253</v>
      </c>
      <c r="D470" s="211">
        <v>2014</v>
      </c>
      <c r="E470" s="85">
        <f>G470+H470</f>
        <v>1983</v>
      </c>
      <c r="F470" s="85"/>
      <c r="G470" s="85">
        <v>1883</v>
      </c>
      <c r="H470" s="85">
        <v>100</v>
      </c>
      <c r="I470" s="107"/>
      <c r="J470" s="433"/>
      <c r="K470" s="467" t="s">
        <v>81</v>
      </c>
      <c r="L470" s="52"/>
      <c r="O470" s="26"/>
      <c r="P470" s="21"/>
      <c r="Q470" s="21"/>
    </row>
    <row r="471" spans="1:17" s="19" customFormat="1" ht="36" customHeight="1">
      <c r="A471" s="524"/>
      <c r="B471" s="516"/>
      <c r="C471" s="446"/>
      <c r="D471" s="211">
        <v>2015</v>
      </c>
      <c r="E471" s="85">
        <f>G471+H471+I471+F471</f>
        <v>9072</v>
      </c>
      <c r="F471" s="85"/>
      <c r="G471" s="85">
        <f>7350+2625-9975+8971</f>
        <v>8971</v>
      </c>
      <c r="H471" s="85">
        <v>101</v>
      </c>
      <c r="I471" s="107"/>
      <c r="J471" s="434"/>
      <c r="K471" s="470"/>
      <c r="L471" s="52"/>
      <c r="O471" s="26"/>
      <c r="P471" s="21"/>
      <c r="Q471" s="21"/>
    </row>
    <row r="472" spans="1:17" s="19" customFormat="1" ht="24" customHeight="1" hidden="1">
      <c r="A472" s="524"/>
      <c r="B472" s="516"/>
      <c r="C472" s="446"/>
      <c r="D472" s="211">
        <v>2016</v>
      </c>
      <c r="E472" s="85">
        <f>G472+H472+I472+F472</f>
        <v>1796</v>
      </c>
      <c r="F472" s="85"/>
      <c r="G472" s="85">
        <f>7700+2750-9450+352</f>
        <v>1352</v>
      </c>
      <c r="H472" s="85">
        <f>394+50</f>
        <v>444</v>
      </c>
      <c r="I472" s="107"/>
      <c r="J472" s="434"/>
      <c r="K472" s="470"/>
      <c r="L472" s="52"/>
      <c r="O472" s="26"/>
      <c r="P472" s="21"/>
      <c r="Q472" s="21"/>
    </row>
    <row r="473" spans="1:17" s="19" customFormat="1" ht="26.25" customHeight="1" hidden="1">
      <c r="A473" s="524"/>
      <c r="B473" s="516"/>
      <c r="C473" s="446"/>
      <c r="D473" s="211">
        <v>2014</v>
      </c>
      <c r="E473" s="85">
        <v>0</v>
      </c>
      <c r="F473" s="85"/>
      <c r="G473" s="107">
        <v>0</v>
      </c>
      <c r="H473" s="107">
        <v>0</v>
      </c>
      <c r="I473" s="107"/>
      <c r="J473" s="434"/>
      <c r="K473" s="470"/>
      <c r="L473" s="52"/>
      <c r="O473" s="26"/>
      <c r="P473" s="21"/>
      <c r="Q473" s="21"/>
    </row>
    <row r="474" spans="1:17" s="19" customFormat="1" ht="18.75" customHeight="1" hidden="1">
      <c r="A474" s="524"/>
      <c r="B474" s="516"/>
      <c r="C474" s="437"/>
      <c r="D474" s="211">
        <v>2017</v>
      </c>
      <c r="E474" s="332">
        <f>G474+H474</f>
        <v>0</v>
      </c>
      <c r="F474" s="332"/>
      <c r="G474" s="332">
        <v>0</v>
      </c>
      <c r="H474" s="332">
        <v>0</v>
      </c>
      <c r="I474" s="107"/>
      <c r="J474" s="435"/>
      <c r="K474" s="468"/>
      <c r="L474" s="52"/>
      <c r="O474" s="26"/>
      <c r="P474" s="21"/>
      <c r="Q474" s="21"/>
    </row>
    <row r="475" spans="1:17" s="19" customFormat="1" ht="79.5" customHeight="1" hidden="1">
      <c r="A475" s="449" t="s">
        <v>494</v>
      </c>
      <c r="B475" s="438" t="s">
        <v>315</v>
      </c>
      <c r="C475" s="436" t="s">
        <v>253</v>
      </c>
      <c r="D475" s="324">
        <v>2015</v>
      </c>
      <c r="E475" s="102">
        <f>F475+G475+H475</f>
        <v>0</v>
      </c>
      <c r="F475" s="85"/>
      <c r="G475" s="85">
        <f>7000-7000</f>
        <v>0</v>
      </c>
      <c r="H475" s="85">
        <v>0</v>
      </c>
      <c r="I475" s="92"/>
      <c r="J475" s="433"/>
      <c r="K475" s="453" t="s">
        <v>81</v>
      </c>
      <c r="L475" s="52"/>
      <c r="O475" s="26"/>
      <c r="P475" s="21"/>
      <c r="Q475" s="21"/>
    </row>
    <row r="476" spans="1:17" s="19" customFormat="1" ht="40.5" customHeight="1" hidden="1">
      <c r="A476" s="450"/>
      <c r="B476" s="451"/>
      <c r="C476" s="446"/>
      <c r="D476" s="215">
        <v>2016</v>
      </c>
      <c r="E476" s="102">
        <f>G476+H476+I476+F476</f>
        <v>1050</v>
      </c>
      <c r="F476" s="85"/>
      <c r="G476" s="85">
        <f>7000+5000-11000</f>
        <v>1000</v>
      </c>
      <c r="H476" s="85">
        <f>605-5-550</f>
        <v>50</v>
      </c>
      <c r="I476" s="216"/>
      <c r="J476" s="434"/>
      <c r="K476" s="454"/>
      <c r="L476" s="52"/>
      <c r="O476" s="26"/>
      <c r="P476" s="21"/>
      <c r="Q476" s="21"/>
    </row>
    <row r="477" spans="1:17" s="19" customFormat="1" ht="38.25" customHeight="1" hidden="1">
      <c r="A477" s="450"/>
      <c r="B477" s="451"/>
      <c r="C477" s="437"/>
      <c r="D477" s="324">
        <v>2017</v>
      </c>
      <c r="E477" s="177">
        <f>G477+H477</f>
        <v>11550</v>
      </c>
      <c r="F477" s="97"/>
      <c r="G477" s="97">
        <v>11000</v>
      </c>
      <c r="H477" s="97">
        <v>550</v>
      </c>
      <c r="I477" s="92"/>
      <c r="J477" s="435"/>
      <c r="K477" s="455"/>
      <c r="L477" s="52"/>
      <c r="O477" s="26"/>
      <c r="P477" s="21"/>
      <c r="Q477" s="21"/>
    </row>
    <row r="478" spans="1:17" s="19" customFormat="1" ht="38.25" customHeight="1" hidden="1">
      <c r="A478" s="452"/>
      <c r="B478" s="439"/>
      <c r="C478" s="89"/>
      <c r="D478" s="324">
        <v>2018</v>
      </c>
      <c r="E478" s="177">
        <f>G478+H478</f>
        <v>7350</v>
      </c>
      <c r="F478" s="97"/>
      <c r="G478" s="97">
        <v>7000</v>
      </c>
      <c r="H478" s="97">
        <v>350</v>
      </c>
      <c r="I478" s="92"/>
      <c r="J478" s="99"/>
      <c r="K478" s="173"/>
      <c r="L478" s="52"/>
      <c r="O478" s="26"/>
      <c r="P478" s="21"/>
      <c r="Q478" s="21"/>
    </row>
    <row r="479" spans="1:17" s="19" customFormat="1" ht="24" customHeight="1" hidden="1">
      <c r="A479" s="449" t="s">
        <v>495</v>
      </c>
      <c r="B479" s="438" t="s">
        <v>315</v>
      </c>
      <c r="C479" s="436" t="s">
        <v>253</v>
      </c>
      <c r="D479" s="465">
        <v>2015</v>
      </c>
      <c r="E479" s="467">
        <f>G479+H479+I498</f>
        <v>0</v>
      </c>
      <c r="F479" s="467"/>
      <c r="G479" s="467">
        <f>10850+2779.1+2297-13629.1-2297</f>
        <v>0</v>
      </c>
      <c r="H479" s="467">
        <v>0</v>
      </c>
      <c r="I479" s="456"/>
      <c r="J479" s="433"/>
      <c r="K479" s="436" t="s">
        <v>81</v>
      </c>
      <c r="L479" s="52"/>
      <c r="O479" s="26"/>
      <c r="P479" s="21"/>
      <c r="Q479" s="21"/>
    </row>
    <row r="480" spans="1:17" s="19" customFormat="1" ht="53.25" customHeight="1" hidden="1">
      <c r="A480" s="450"/>
      <c r="B480" s="451"/>
      <c r="C480" s="446"/>
      <c r="D480" s="466"/>
      <c r="E480" s="468"/>
      <c r="F480" s="468"/>
      <c r="G480" s="468"/>
      <c r="H480" s="468"/>
      <c r="I480" s="458"/>
      <c r="J480" s="434"/>
      <c r="K480" s="446"/>
      <c r="L480" s="52"/>
      <c r="O480" s="26"/>
      <c r="P480" s="21"/>
      <c r="Q480" s="21"/>
    </row>
    <row r="481" spans="1:17" s="19" customFormat="1" ht="23.25" customHeight="1" hidden="1">
      <c r="A481" s="450"/>
      <c r="B481" s="451"/>
      <c r="C481" s="446"/>
      <c r="D481" s="277">
        <v>2016</v>
      </c>
      <c r="E481" s="102">
        <f>G481+H481</f>
        <v>2418.9</v>
      </c>
      <c r="F481" s="102"/>
      <c r="G481" s="102">
        <f>1000+1297</f>
        <v>2297</v>
      </c>
      <c r="H481" s="102">
        <f>50+71.9</f>
        <v>121.9</v>
      </c>
      <c r="I481" s="222"/>
      <c r="J481" s="434"/>
      <c r="K481" s="446"/>
      <c r="L481" s="52"/>
      <c r="O481" s="26"/>
      <c r="P481" s="21"/>
      <c r="Q481" s="21"/>
    </row>
    <row r="482" spans="1:17" s="19" customFormat="1" ht="21.75" customHeight="1" hidden="1">
      <c r="A482" s="452"/>
      <c r="B482" s="439"/>
      <c r="C482" s="437"/>
      <c r="D482" s="277">
        <v>2017</v>
      </c>
      <c r="E482" s="102">
        <f>G482+H482</f>
        <v>13129.1</v>
      </c>
      <c r="F482" s="102"/>
      <c r="G482" s="102">
        <v>12629.1</v>
      </c>
      <c r="H482" s="102">
        <v>500</v>
      </c>
      <c r="I482" s="222"/>
      <c r="J482" s="435"/>
      <c r="K482" s="437"/>
      <c r="L482" s="52"/>
      <c r="O482" s="26"/>
      <c r="P482" s="21"/>
      <c r="Q482" s="21"/>
    </row>
    <row r="483" spans="1:17" s="19" customFormat="1" ht="93.75" customHeight="1">
      <c r="A483" s="449" t="s">
        <v>560</v>
      </c>
      <c r="B483" s="438" t="s">
        <v>100</v>
      </c>
      <c r="C483" s="436" t="s">
        <v>253</v>
      </c>
      <c r="D483" s="211">
        <v>2015</v>
      </c>
      <c r="E483" s="85">
        <f>G483+H483+I483+F483</f>
        <v>2937</v>
      </c>
      <c r="F483" s="107"/>
      <c r="G483" s="107">
        <v>2790</v>
      </c>
      <c r="H483" s="107">
        <v>147</v>
      </c>
      <c r="I483" s="216"/>
      <c r="J483" s="433"/>
      <c r="K483" s="467" t="s">
        <v>81</v>
      </c>
      <c r="L483" s="52"/>
      <c r="O483" s="26"/>
      <c r="P483" s="21"/>
      <c r="Q483" s="21"/>
    </row>
    <row r="484" spans="1:17" s="19" customFormat="1" ht="36" customHeight="1" hidden="1">
      <c r="A484" s="452"/>
      <c r="B484" s="439"/>
      <c r="C484" s="437"/>
      <c r="D484" s="96">
        <v>2016</v>
      </c>
      <c r="E484" s="97">
        <f>G484+H484</f>
        <v>5250</v>
      </c>
      <c r="F484" s="98"/>
      <c r="G484" s="98">
        <v>5000</v>
      </c>
      <c r="H484" s="98">
        <v>250</v>
      </c>
      <c r="I484" s="92"/>
      <c r="J484" s="435"/>
      <c r="K484" s="468"/>
      <c r="L484" s="52"/>
      <c r="O484" s="26"/>
      <c r="P484" s="21"/>
      <c r="Q484" s="21"/>
    </row>
    <row r="485" spans="1:17" s="19" customFormat="1" ht="31.5" customHeight="1">
      <c r="A485" s="449" t="s">
        <v>561</v>
      </c>
      <c r="B485" s="438" t="s">
        <v>40</v>
      </c>
      <c r="C485" s="436" t="s">
        <v>253</v>
      </c>
      <c r="D485" s="465">
        <v>2015</v>
      </c>
      <c r="E485" s="467">
        <f>G485+H485+I485+F485</f>
        <v>1425.1</v>
      </c>
      <c r="F485" s="467"/>
      <c r="G485" s="467">
        <v>1353.8</v>
      </c>
      <c r="H485" s="467">
        <v>71.3</v>
      </c>
      <c r="I485" s="456"/>
      <c r="J485" s="436"/>
      <c r="K485" s="467" t="s">
        <v>81</v>
      </c>
      <c r="L485" s="52"/>
      <c r="O485" s="26"/>
      <c r="P485" s="21"/>
      <c r="Q485" s="21"/>
    </row>
    <row r="486" spans="1:17" s="19" customFormat="1" ht="48.75" customHeight="1">
      <c r="A486" s="450"/>
      <c r="B486" s="451"/>
      <c r="C486" s="446"/>
      <c r="D486" s="466"/>
      <c r="E486" s="468"/>
      <c r="F486" s="468"/>
      <c r="G486" s="468"/>
      <c r="H486" s="468"/>
      <c r="I486" s="458"/>
      <c r="J486" s="446"/>
      <c r="K486" s="470"/>
      <c r="L486" s="52"/>
      <c r="O486" s="26"/>
      <c r="P486" s="21"/>
      <c r="Q486" s="21"/>
    </row>
    <row r="487" spans="1:17" s="19" customFormat="1" ht="23.25" customHeight="1" hidden="1">
      <c r="A487" s="452"/>
      <c r="B487" s="439"/>
      <c r="C487" s="437"/>
      <c r="D487" s="277">
        <v>2016</v>
      </c>
      <c r="E487" s="102">
        <f>G487+H487</f>
        <v>452.5</v>
      </c>
      <c r="F487" s="333"/>
      <c r="G487" s="102">
        <f>5000-4572.5</f>
        <v>427.5</v>
      </c>
      <c r="H487" s="102">
        <f>250-225</f>
        <v>25</v>
      </c>
      <c r="I487" s="275"/>
      <c r="J487" s="437"/>
      <c r="K487" s="468"/>
      <c r="L487" s="52"/>
      <c r="O487" s="26"/>
      <c r="P487" s="21"/>
      <c r="Q487" s="21"/>
    </row>
    <row r="488" spans="1:17" s="19" customFormat="1" ht="80.25" customHeight="1">
      <c r="A488" s="449" t="s">
        <v>562</v>
      </c>
      <c r="B488" s="438" t="s">
        <v>275</v>
      </c>
      <c r="C488" s="436" t="s">
        <v>253</v>
      </c>
      <c r="D488" s="211">
        <v>2015</v>
      </c>
      <c r="E488" s="85">
        <f>F488+G488+H488</f>
        <v>1995</v>
      </c>
      <c r="F488" s="265"/>
      <c r="G488" s="85">
        <v>1895</v>
      </c>
      <c r="H488" s="85">
        <v>100</v>
      </c>
      <c r="I488" s="266"/>
      <c r="J488" s="433"/>
      <c r="K488" s="467" t="s">
        <v>81</v>
      </c>
      <c r="L488" s="52"/>
      <c r="O488" s="26"/>
      <c r="P488" s="21"/>
      <c r="Q488" s="21"/>
    </row>
    <row r="489" spans="1:17" s="19" customFormat="1" ht="19.5" customHeight="1" hidden="1">
      <c r="A489" s="452"/>
      <c r="B489" s="439"/>
      <c r="C489" s="437"/>
      <c r="D489" s="96">
        <v>2016</v>
      </c>
      <c r="E489" s="97">
        <f>G489+H489</f>
        <v>5250</v>
      </c>
      <c r="F489" s="334"/>
      <c r="G489" s="97">
        <v>5000</v>
      </c>
      <c r="H489" s="97">
        <v>250</v>
      </c>
      <c r="I489" s="273"/>
      <c r="J489" s="435"/>
      <c r="K489" s="468"/>
      <c r="L489" s="52"/>
      <c r="O489" s="26"/>
      <c r="P489" s="21"/>
      <c r="Q489" s="21"/>
    </row>
    <row r="490" spans="1:17" s="19" customFormat="1" ht="45" customHeight="1">
      <c r="A490" s="612" t="s">
        <v>563</v>
      </c>
      <c r="B490" s="438" t="s">
        <v>275</v>
      </c>
      <c r="C490" s="436" t="s">
        <v>253</v>
      </c>
      <c r="D490" s="433">
        <v>2015</v>
      </c>
      <c r="E490" s="433">
        <f>F490+G490+H490</f>
        <v>2700</v>
      </c>
      <c r="F490" s="433"/>
      <c r="G490" s="433">
        <v>2565</v>
      </c>
      <c r="H490" s="433">
        <v>135</v>
      </c>
      <c r="I490" s="433"/>
      <c r="J490" s="433"/>
      <c r="K490" s="467" t="s">
        <v>81</v>
      </c>
      <c r="L490" s="52"/>
      <c r="O490" s="26"/>
      <c r="P490" s="21"/>
      <c r="Q490" s="21"/>
    </row>
    <row r="491" spans="1:17" s="19" customFormat="1" ht="37.5" customHeight="1">
      <c r="A491" s="613"/>
      <c r="B491" s="451"/>
      <c r="C491" s="446"/>
      <c r="D491" s="435"/>
      <c r="E491" s="435"/>
      <c r="F491" s="435"/>
      <c r="G491" s="435"/>
      <c r="H491" s="435"/>
      <c r="I491" s="435"/>
      <c r="J491" s="434"/>
      <c r="K491" s="470"/>
      <c r="L491" s="52"/>
      <c r="O491" s="26"/>
      <c r="P491" s="21"/>
      <c r="Q491" s="21"/>
    </row>
    <row r="492" spans="1:17" s="19" customFormat="1" ht="31.5" customHeight="1" hidden="1">
      <c r="A492" s="613"/>
      <c r="B492" s="451"/>
      <c r="C492" s="446"/>
      <c r="D492" s="279"/>
      <c r="E492" s="177"/>
      <c r="F492" s="280"/>
      <c r="G492" s="177"/>
      <c r="H492" s="177"/>
      <c r="I492" s="281"/>
      <c r="J492" s="434"/>
      <c r="K492" s="470"/>
      <c r="L492" s="52"/>
      <c r="O492" s="26"/>
      <c r="P492" s="21"/>
      <c r="Q492" s="21"/>
    </row>
    <row r="493" spans="1:17" s="19" customFormat="1" ht="31.5" customHeight="1" hidden="1">
      <c r="A493" s="613"/>
      <c r="B493" s="451"/>
      <c r="C493" s="446"/>
      <c r="D493" s="279"/>
      <c r="E493" s="177"/>
      <c r="F493" s="280"/>
      <c r="G493" s="177"/>
      <c r="H493" s="177"/>
      <c r="I493" s="281"/>
      <c r="J493" s="434"/>
      <c r="K493" s="470"/>
      <c r="L493" s="52"/>
      <c r="O493" s="26"/>
      <c r="P493" s="21"/>
      <c r="Q493" s="21"/>
    </row>
    <row r="494" spans="1:17" s="19" customFormat="1" ht="31.5" customHeight="1" hidden="1">
      <c r="A494" s="613"/>
      <c r="B494" s="451"/>
      <c r="C494" s="446"/>
      <c r="D494" s="279"/>
      <c r="E494" s="177"/>
      <c r="F494" s="280"/>
      <c r="G494" s="177"/>
      <c r="H494" s="177"/>
      <c r="I494" s="281"/>
      <c r="J494" s="434"/>
      <c r="K494" s="470"/>
      <c r="L494" s="52"/>
      <c r="O494" s="26"/>
      <c r="P494" s="21"/>
      <c r="Q494" s="21"/>
    </row>
    <row r="495" spans="1:17" s="19" customFormat="1" ht="31.5" customHeight="1" hidden="1">
      <c r="A495" s="613"/>
      <c r="B495" s="451"/>
      <c r="C495" s="446"/>
      <c r="D495" s="279"/>
      <c r="E495" s="177"/>
      <c r="F495" s="280"/>
      <c r="G495" s="177"/>
      <c r="H495" s="177"/>
      <c r="I495" s="281"/>
      <c r="J495" s="434"/>
      <c r="K495" s="470"/>
      <c r="L495" s="52"/>
      <c r="O495" s="26"/>
      <c r="P495" s="21"/>
      <c r="Q495" s="21"/>
    </row>
    <row r="496" spans="1:17" s="19" customFormat="1" ht="31.5" customHeight="1" hidden="1">
      <c r="A496" s="613"/>
      <c r="B496" s="451"/>
      <c r="C496" s="446"/>
      <c r="D496" s="279"/>
      <c r="E496" s="177"/>
      <c r="F496" s="280"/>
      <c r="G496" s="177"/>
      <c r="H496" s="177"/>
      <c r="I496" s="281"/>
      <c r="J496" s="434"/>
      <c r="K496" s="470"/>
      <c r="L496" s="52"/>
      <c r="O496" s="26"/>
      <c r="P496" s="21"/>
      <c r="Q496" s="21"/>
    </row>
    <row r="497" spans="1:17" s="19" customFormat="1" ht="31.5" customHeight="1" hidden="1">
      <c r="A497" s="613"/>
      <c r="B497" s="451"/>
      <c r="C497" s="446"/>
      <c r="D497" s="279"/>
      <c r="E497" s="177"/>
      <c r="F497" s="280"/>
      <c r="G497" s="177"/>
      <c r="H497" s="177"/>
      <c r="I497" s="281"/>
      <c r="J497" s="434"/>
      <c r="K497" s="470"/>
      <c r="L497" s="52"/>
      <c r="O497" s="26"/>
      <c r="P497" s="21"/>
      <c r="Q497" s="21"/>
    </row>
    <row r="498" spans="1:17" s="15" customFormat="1" ht="21.75" customHeight="1" hidden="1" thickBot="1">
      <c r="A498" s="613"/>
      <c r="B498" s="451"/>
      <c r="C498" s="446"/>
      <c r="D498" s="335"/>
      <c r="E498" s="258"/>
      <c r="F498" s="336"/>
      <c r="G498" s="258"/>
      <c r="H498" s="258"/>
      <c r="I498" s="337"/>
      <c r="J498" s="434"/>
      <c r="K498" s="470"/>
      <c r="L498" s="59"/>
      <c r="M498" s="18"/>
      <c r="O498" s="16"/>
      <c r="P498" s="17"/>
      <c r="Q498" s="17"/>
    </row>
    <row r="499" spans="1:17" s="15" customFormat="1" ht="21" customHeight="1" hidden="1" thickBot="1" thickTop="1">
      <c r="A499" s="613"/>
      <c r="B499" s="451"/>
      <c r="C499" s="446"/>
      <c r="D499" s="335"/>
      <c r="E499" s="258"/>
      <c r="F499" s="336"/>
      <c r="G499" s="258"/>
      <c r="H499" s="258"/>
      <c r="I499" s="337"/>
      <c r="J499" s="434"/>
      <c r="K499" s="470"/>
      <c r="L499" s="59"/>
      <c r="M499" s="18"/>
      <c r="O499" s="16"/>
      <c r="P499" s="17"/>
      <c r="Q499" s="17"/>
    </row>
    <row r="500" spans="1:17" s="15" customFormat="1" ht="24.75" customHeight="1" hidden="1" thickBot="1" thickTop="1">
      <c r="A500" s="613"/>
      <c r="B500" s="451"/>
      <c r="C500" s="446"/>
      <c r="D500" s="335"/>
      <c r="E500" s="258"/>
      <c r="F500" s="336"/>
      <c r="G500" s="258"/>
      <c r="H500" s="258"/>
      <c r="I500" s="337"/>
      <c r="J500" s="434"/>
      <c r="K500" s="470"/>
      <c r="L500" s="59"/>
      <c r="M500" s="18"/>
      <c r="O500" s="16"/>
      <c r="P500" s="17"/>
      <c r="Q500" s="17"/>
    </row>
    <row r="501" spans="1:17" s="15" customFormat="1" ht="34.5" customHeight="1" hidden="1">
      <c r="A501" s="614"/>
      <c r="B501" s="439"/>
      <c r="C501" s="437"/>
      <c r="D501" s="279">
        <v>2016</v>
      </c>
      <c r="E501" s="196">
        <f>H501+G501</f>
        <v>5250</v>
      </c>
      <c r="F501" s="281"/>
      <c r="G501" s="196">
        <v>5000</v>
      </c>
      <c r="H501" s="196">
        <v>250</v>
      </c>
      <c r="I501" s="280"/>
      <c r="J501" s="435"/>
      <c r="K501" s="468"/>
      <c r="L501" s="59"/>
      <c r="M501" s="18"/>
      <c r="O501" s="16"/>
      <c r="P501" s="17"/>
      <c r="Q501" s="17"/>
    </row>
    <row r="502" spans="1:17" s="19" customFormat="1" ht="37.5" customHeight="1">
      <c r="A502" s="449" t="s">
        <v>564</v>
      </c>
      <c r="B502" s="438" t="s">
        <v>220</v>
      </c>
      <c r="C502" s="436" t="s">
        <v>253</v>
      </c>
      <c r="D502" s="433">
        <v>2015</v>
      </c>
      <c r="E502" s="433">
        <f>F502+G502+H502</f>
        <v>2700</v>
      </c>
      <c r="F502" s="433"/>
      <c r="G502" s="433">
        <v>2565</v>
      </c>
      <c r="H502" s="433">
        <v>135</v>
      </c>
      <c r="I502" s="433"/>
      <c r="J502" s="433"/>
      <c r="K502" s="467" t="s">
        <v>81</v>
      </c>
      <c r="L502" s="60"/>
      <c r="M502" s="5"/>
      <c r="O502" s="26"/>
      <c r="P502" s="21"/>
      <c r="Q502" s="21"/>
    </row>
    <row r="503" spans="1:17" s="19" customFormat="1" ht="52.5" customHeight="1">
      <c r="A503" s="450"/>
      <c r="B503" s="451"/>
      <c r="C503" s="446"/>
      <c r="D503" s="435"/>
      <c r="E503" s="435"/>
      <c r="F503" s="435"/>
      <c r="G503" s="435"/>
      <c r="H503" s="435"/>
      <c r="I503" s="435"/>
      <c r="J503" s="434"/>
      <c r="K503" s="470"/>
      <c r="L503" s="60"/>
      <c r="M503" s="5"/>
      <c r="O503" s="26"/>
      <c r="P503" s="21"/>
      <c r="Q503" s="21"/>
    </row>
    <row r="504" spans="1:17" s="19" customFormat="1" ht="27" customHeight="1" hidden="1">
      <c r="A504" s="452"/>
      <c r="B504" s="439"/>
      <c r="C504" s="437"/>
      <c r="D504" s="104">
        <v>2016</v>
      </c>
      <c r="E504" s="104">
        <f>G504+H504</f>
        <v>5250</v>
      </c>
      <c r="F504" s="104"/>
      <c r="G504" s="104">
        <v>5000</v>
      </c>
      <c r="H504" s="104">
        <v>250</v>
      </c>
      <c r="I504" s="338"/>
      <c r="J504" s="435"/>
      <c r="K504" s="468"/>
      <c r="L504" s="60"/>
      <c r="M504" s="5"/>
      <c r="O504" s="26"/>
      <c r="P504" s="21"/>
      <c r="Q504" s="21"/>
    </row>
    <row r="505" spans="1:17" s="19" customFormat="1" ht="86.25" customHeight="1">
      <c r="A505" s="449" t="s">
        <v>565</v>
      </c>
      <c r="B505" s="438" t="s">
        <v>101</v>
      </c>
      <c r="C505" s="436" t="s">
        <v>253</v>
      </c>
      <c r="D505" s="99">
        <v>2015</v>
      </c>
      <c r="E505" s="99">
        <f>G505+H505</f>
        <v>5000</v>
      </c>
      <c r="F505" s="99"/>
      <c r="G505" s="99">
        <v>4750</v>
      </c>
      <c r="H505" s="99">
        <v>250</v>
      </c>
      <c r="I505" s="339"/>
      <c r="J505" s="433"/>
      <c r="K505" s="467" t="s">
        <v>81</v>
      </c>
      <c r="L505" s="60"/>
      <c r="M505" s="5"/>
      <c r="O505" s="26"/>
      <c r="P505" s="21"/>
      <c r="Q505" s="21"/>
    </row>
    <row r="506" spans="1:17" s="19" customFormat="1" ht="27.75" customHeight="1" hidden="1">
      <c r="A506" s="452"/>
      <c r="B506" s="439"/>
      <c r="C506" s="437"/>
      <c r="D506" s="214">
        <v>2016</v>
      </c>
      <c r="E506" s="214">
        <f>G506+H506</f>
        <v>5250</v>
      </c>
      <c r="F506" s="214"/>
      <c r="G506" s="214">
        <v>5000</v>
      </c>
      <c r="H506" s="214">
        <v>250</v>
      </c>
      <c r="I506" s="214"/>
      <c r="J506" s="435"/>
      <c r="K506" s="468"/>
      <c r="L506" s="60"/>
      <c r="M506" s="5"/>
      <c r="O506" s="26"/>
      <c r="P506" s="21"/>
      <c r="Q506" s="21"/>
    </row>
    <row r="507" spans="1:17" s="19" customFormat="1" ht="94.5" customHeight="1">
      <c r="A507" s="229" t="s">
        <v>566</v>
      </c>
      <c r="B507" s="194" t="s">
        <v>102</v>
      </c>
      <c r="C507" s="199" t="s">
        <v>253</v>
      </c>
      <c r="D507" s="214">
        <v>2015</v>
      </c>
      <c r="E507" s="214">
        <f>F507+G507+H507</f>
        <v>26473.1</v>
      </c>
      <c r="F507" s="214"/>
      <c r="G507" s="214">
        <v>25149</v>
      </c>
      <c r="H507" s="214">
        <v>1324.1</v>
      </c>
      <c r="I507" s="249"/>
      <c r="J507" s="214" t="s">
        <v>123</v>
      </c>
      <c r="K507" s="85" t="s">
        <v>81</v>
      </c>
      <c r="L507" s="60"/>
      <c r="M507" s="5"/>
      <c r="O507" s="26"/>
      <c r="P507" s="21"/>
      <c r="Q507" s="21"/>
    </row>
    <row r="508" spans="1:17" s="19" customFormat="1" ht="22.5" customHeight="1" hidden="1">
      <c r="A508" s="449" t="s">
        <v>131</v>
      </c>
      <c r="B508" s="438" t="s">
        <v>132</v>
      </c>
      <c r="C508" s="436" t="s">
        <v>253</v>
      </c>
      <c r="D508" s="214">
        <v>2015</v>
      </c>
      <c r="E508" s="214">
        <f>F508+G508+H508</f>
        <v>0</v>
      </c>
      <c r="F508" s="214"/>
      <c r="G508" s="214">
        <v>0</v>
      </c>
      <c r="H508" s="214">
        <v>0</v>
      </c>
      <c r="I508" s="249"/>
      <c r="J508" s="433" t="s">
        <v>188</v>
      </c>
      <c r="K508" s="467" t="s">
        <v>81</v>
      </c>
      <c r="L508" s="60"/>
      <c r="M508" s="5"/>
      <c r="O508" s="26"/>
      <c r="P508" s="21"/>
      <c r="Q508" s="21"/>
    </row>
    <row r="509" spans="1:17" s="19" customFormat="1" ht="52.5" customHeight="1" hidden="1">
      <c r="A509" s="452"/>
      <c r="B509" s="439"/>
      <c r="C509" s="437"/>
      <c r="D509" s="214">
        <v>2016</v>
      </c>
      <c r="E509" s="214">
        <f>G509+H509</f>
        <v>4471</v>
      </c>
      <c r="F509" s="214"/>
      <c r="G509" s="214">
        <v>4371</v>
      </c>
      <c r="H509" s="214">
        <v>100</v>
      </c>
      <c r="I509" s="249"/>
      <c r="J509" s="435"/>
      <c r="K509" s="468"/>
      <c r="L509" s="60"/>
      <c r="M509" s="5"/>
      <c r="O509" s="26"/>
      <c r="P509" s="21"/>
      <c r="Q509" s="21"/>
    </row>
    <row r="510" spans="1:17" s="19" customFormat="1" ht="102" customHeight="1">
      <c r="A510" s="449" t="s">
        <v>567</v>
      </c>
      <c r="B510" s="438" t="s">
        <v>130</v>
      </c>
      <c r="C510" s="436" t="s">
        <v>253</v>
      </c>
      <c r="D510" s="214">
        <v>2015</v>
      </c>
      <c r="E510" s="214">
        <f>F510+H510+G510</f>
        <v>2850</v>
      </c>
      <c r="F510" s="214"/>
      <c r="G510" s="214">
        <f>3230-530</f>
        <v>2700</v>
      </c>
      <c r="H510" s="214">
        <f>170-20</f>
        <v>150</v>
      </c>
      <c r="I510" s="214"/>
      <c r="J510" s="433"/>
      <c r="K510" s="467" t="s">
        <v>81</v>
      </c>
      <c r="L510" s="60"/>
      <c r="M510" s="5"/>
      <c r="O510" s="26"/>
      <c r="P510" s="21"/>
      <c r="Q510" s="21"/>
    </row>
    <row r="511" spans="1:17" s="19" customFormat="1" ht="51" customHeight="1" hidden="1">
      <c r="A511" s="452"/>
      <c r="B511" s="439"/>
      <c r="C511" s="437"/>
      <c r="D511" s="214">
        <v>2016</v>
      </c>
      <c r="E511" s="214">
        <f aca="true" t="shared" si="15" ref="E511:E517">G511+H511</f>
        <v>5250</v>
      </c>
      <c r="F511" s="214"/>
      <c r="G511" s="214">
        <v>5000</v>
      </c>
      <c r="H511" s="214">
        <v>250</v>
      </c>
      <c r="I511" s="214"/>
      <c r="J511" s="435"/>
      <c r="K511" s="468"/>
      <c r="L511" s="60"/>
      <c r="M511" s="70"/>
      <c r="O511" s="26"/>
      <c r="P511" s="21"/>
      <c r="Q511" s="21"/>
    </row>
    <row r="512" spans="1:17" s="19" customFormat="1" ht="74.25" customHeight="1">
      <c r="A512" s="449" t="s">
        <v>568</v>
      </c>
      <c r="B512" s="438" t="s">
        <v>372</v>
      </c>
      <c r="C512" s="436" t="s">
        <v>253</v>
      </c>
      <c r="D512" s="214">
        <v>2015</v>
      </c>
      <c r="E512" s="214">
        <f t="shared" si="15"/>
        <v>20572.4</v>
      </c>
      <c r="F512" s="214"/>
      <c r="G512" s="214">
        <f>20621.7-149.3</f>
        <v>20472.4</v>
      </c>
      <c r="H512" s="214">
        <v>100</v>
      </c>
      <c r="I512" s="214"/>
      <c r="J512" s="93"/>
      <c r="K512" s="85" t="s">
        <v>81</v>
      </c>
      <c r="L512" s="60"/>
      <c r="M512" s="5"/>
      <c r="O512" s="26"/>
      <c r="P512" s="21"/>
      <c r="Q512" s="21"/>
    </row>
    <row r="513" spans="1:17" s="19" customFormat="1" ht="30" customHeight="1" hidden="1">
      <c r="A513" s="452"/>
      <c r="B513" s="439"/>
      <c r="C513" s="437"/>
      <c r="D513" s="214">
        <v>2016</v>
      </c>
      <c r="E513" s="214">
        <f>G513+H513</f>
        <v>2090.2</v>
      </c>
      <c r="F513" s="214"/>
      <c r="G513" s="214">
        <v>479.2</v>
      </c>
      <c r="H513" s="214">
        <v>1611</v>
      </c>
      <c r="I513" s="214"/>
      <c r="J513" s="99"/>
      <c r="K513" s="177"/>
      <c r="L513" s="60"/>
      <c r="M513" s="5"/>
      <c r="O513" s="26"/>
      <c r="P513" s="21"/>
      <c r="Q513" s="21"/>
    </row>
    <row r="514" spans="1:17" s="19" customFormat="1" ht="28.5" customHeight="1" hidden="1">
      <c r="A514" s="229" t="s">
        <v>373</v>
      </c>
      <c r="B514" s="194" t="s">
        <v>226</v>
      </c>
      <c r="C514" s="199" t="s">
        <v>253</v>
      </c>
      <c r="D514" s="214">
        <v>2016</v>
      </c>
      <c r="E514" s="214">
        <f t="shared" si="15"/>
        <v>2975</v>
      </c>
      <c r="F514" s="214"/>
      <c r="G514" s="214">
        <v>2790</v>
      </c>
      <c r="H514" s="214">
        <v>185</v>
      </c>
      <c r="I514" s="214"/>
      <c r="J514" s="214" t="s">
        <v>187</v>
      </c>
      <c r="K514" s="85" t="s">
        <v>81</v>
      </c>
      <c r="L514" s="60"/>
      <c r="M514" s="5"/>
      <c r="O514" s="26"/>
      <c r="P514" s="21"/>
      <c r="Q514" s="21"/>
    </row>
    <row r="515" spans="1:17" s="19" customFormat="1" ht="30.75" customHeight="1" hidden="1">
      <c r="A515" s="229" t="s">
        <v>374</v>
      </c>
      <c r="B515" s="194" t="s">
        <v>226</v>
      </c>
      <c r="C515" s="199" t="s">
        <v>253</v>
      </c>
      <c r="D515" s="214">
        <v>2016</v>
      </c>
      <c r="E515" s="214">
        <f t="shared" si="15"/>
        <v>5250</v>
      </c>
      <c r="F515" s="214"/>
      <c r="G515" s="214">
        <v>5000</v>
      </c>
      <c r="H515" s="214">
        <v>250</v>
      </c>
      <c r="I515" s="214"/>
      <c r="J515" s="99"/>
      <c r="K515" s="177" t="s">
        <v>81</v>
      </c>
      <c r="L515" s="60"/>
      <c r="M515" s="5"/>
      <c r="O515" s="26"/>
      <c r="P515" s="21"/>
      <c r="Q515" s="21"/>
    </row>
    <row r="516" spans="1:17" s="19" customFormat="1" ht="80.25" customHeight="1">
      <c r="A516" s="449" t="s">
        <v>569</v>
      </c>
      <c r="B516" s="438" t="s">
        <v>343</v>
      </c>
      <c r="C516" s="436" t="s">
        <v>253</v>
      </c>
      <c r="D516" s="214">
        <v>2015</v>
      </c>
      <c r="E516" s="214">
        <f t="shared" si="15"/>
        <v>7222.4</v>
      </c>
      <c r="F516" s="214"/>
      <c r="G516" s="214">
        <v>6700</v>
      </c>
      <c r="H516" s="214">
        <v>522.4</v>
      </c>
      <c r="I516" s="214"/>
      <c r="J516" s="433"/>
      <c r="K516" s="467" t="s">
        <v>81</v>
      </c>
      <c r="L516" s="60"/>
      <c r="M516" s="5"/>
      <c r="O516" s="26"/>
      <c r="P516" s="21"/>
      <c r="Q516" s="21"/>
    </row>
    <row r="517" spans="1:17" s="19" customFormat="1" ht="20.25" customHeight="1" hidden="1">
      <c r="A517" s="450"/>
      <c r="B517" s="451"/>
      <c r="C517" s="446"/>
      <c r="D517" s="104">
        <v>2016</v>
      </c>
      <c r="E517" s="104">
        <f t="shared" si="15"/>
        <v>25072.6</v>
      </c>
      <c r="F517" s="104"/>
      <c r="G517" s="104">
        <v>24572.6</v>
      </c>
      <c r="H517" s="104">
        <v>500</v>
      </c>
      <c r="I517" s="338"/>
      <c r="J517" s="434"/>
      <c r="K517" s="470"/>
      <c r="L517" s="60"/>
      <c r="M517" s="5"/>
      <c r="O517" s="26"/>
      <c r="P517" s="21"/>
      <c r="Q517" s="21"/>
    </row>
    <row r="518" spans="1:17" s="19" customFormat="1" ht="20.25" customHeight="1" hidden="1">
      <c r="A518" s="452"/>
      <c r="B518" s="439"/>
      <c r="C518" s="437"/>
      <c r="D518" s="214">
        <v>2017</v>
      </c>
      <c r="E518" s="214">
        <f>G518+H518</f>
        <v>14165.5</v>
      </c>
      <c r="F518" s="214"/>
      <c r="G518" s="214">
        <v>13465.5</v>
      </c>
      <c r="H518" s="214">
        <v>700</v>
      </c>
      <c r="I518" s="249"/>
      <c r="J518" s="435"/>
      <c r="K518" s="468"/>
      <c r="L518" s="60"/>
      <c r="M518" s="5"/>
      <c r="O518" s="26"/>
      <c r="P518" s="21"/>
      <c r="Q518" s="21"/>
    </row>
    <row r="519" spans="1:17" s="19" customFormat="1" ht="102.75" customHeight="1">
      <c r="A519" s="449" t="s">
        <v>570</v>
      </c>
      <c r="B519" s="438" t="s">
        <v>439</v>
      </c>
      <c r="C519" s="436"/>
      <c r="D519" s="214">
        <v>2015</v>
      </c>
      <c r="E519" s="214">
        <f>G519+H519</f>
        <v>13684</v>
      </c>
      <c r="F519" s="214"/>
      <c r="G519" s="214">
        <v>13000</v>
      </c>
      <c r="H519" s="214">
        <v>684</v>
      </c>
      <c r="I519" s="214"/>
      <c r="J519" s="433"/>
      <c r="K519" s="467" t="s">
        <v>81</v>
      </c>
      <c r="L519" s="60"/>
      <c r="M519" s="5"/>
      <c r="O519" s="26"/>
      <c r="P519" s="21"/>
      <c r="Q519" s="21"/>
    </row>
    <row r="520" spans="1:17" s="19" customFormat="1" ht="43.5" customHeight="1" hidden="1">
      <c r="A520" s="452"/>
      <c r="B520" s="439"/>
      <c r="C520" s="437"/>
      <c r="D520" s="104">
        <v>2016</v>
      </c>
      <c r="E520" s="104">
        <f>G520+H520</f>
        <v>678</v>
      </c>
      <c r="F520" s="104"/>
      <c r="G520" s="104">
        <v>644</v>
      </c>
      <c r="H520" s="104">
        <v>34</v>
      </c>
      <c r="I520" s="338"/>
      <c r="J520" s="435"/>
      <c r="K520" s="468"/>
      <c r="L520" s="60"/>
      <c r="M520" s="5"/>
      <c r="O520" s="26"/>
      <c r="P520" s="21"/>
      <c r="Q520" s="21"/>
    </row>
    <row r="521" spans="1:15" s="19" customFormat="1" ht="29.25" customHeight="1">
      <c r="A521" s="340" t="s">
        <v>8</v>
      </c>
      <c r="B521" s="438"/>
      <c r="C521" s="436"/>
      <c r="D521" s="252">
        <v>2014</v>
      </c>
      <c r="E521" s="85">
        <f>E348+E349+E353+E355+E356+E369+E370+E371+E372+E375+E377+E381+E382+E384+E393+E396+E399+E425+E429+E433+E436+E450+E462+E470+E386+E378+E445</f>
        <v>94616.5</v>
      </c>
      <c r="F521" s="85">
        <f>F348+F349+F353+F355+F356+F369+F370+F371+F372+F375+F377+F381+F382+F384+F393+F396+F399+F425+F429+F433+F436+F450+F462+F470+F386+F378+F445</f>
        <v>40463</v>
      </c>
      <c r="G521" s="85">
        <f>G348+G349+G353+G355+G356+G369+G370+G371+G372+G375+G377+G381+G382+G384+G393+G396+G399+G425+G429+G433+G436+G450+G462+G470+G386+G378+G445</f>
        <v>49359.5</v>
      </c>
      <c r="H521" s="85">
        <f>H348+H349+H353+H355+H356+H369+H370+H371+H372+H375+H377+H381+H382+H384+H393+H396+H399+H425+H429+H433+H436+H450+H462+H470+H386+H378+H445</f>
        <v>4794</v>
      </c>
      <c r="I521" s="85"/>
      <c r="J521" s="85" t="s">
        <v>408</v>
      </c>
      <c r="K521" s="610"/>
      <c r="L521" s="61"/>
      <c r="M521" s="32"/>
      <c r="O521" s="26"/>
    </row>
    <row r="522" spans="1:14" s="19" customFormat="1" ht="69.75" customHeight="1">
      <c r="A522" s="94"/>
      <c r="B522" s="451"/>
      <c r="C522" s="446"/>
      <c r="D522" s="252">
        <v>2015</v>
      </c>
      <c r="E522" s="85">
        <f>E350+E357+E360+E361+E363+E366+E373+E379+E383+E385+E387++E402+E446+E451+E453+E463+E466+E471+E475+E479+E432+E483+E485+E488+E490+E352+E502+E505+E507+E391+E354+E510+E508+E516+E512+E519</f>
        <v>211134.3</v>
      </c>
      <c r="F522" s="85">
        <f>F350+F357+F360+F361+F363+F366+F373+F379+F383+F385+F387++F402+F446+F451+F453+F463+F466+F471+F475+F479+F432+F483+F485+F488+F490+F352+F502+F505+F507+F391+F354+F510+F508+F516+F512+F519</f>
        <v>19100</v>
      </c>
      <c r="G522" s="85">
        <f>G350+G357+G360+G361+G363+G366+G373+G379+G383+G385+G387++G402+G446+G451+G453+G463+G466+G471+G475+G479+G432+G483+G485+G488+G490+G352+G502+G505+G507+G391+G354+G510+G508+G516+G512+G519</f>
        <v>184012.3</v>
      </c>
      <c r="H522" s="85">
        <f>H350+H357+H360+H361+H363+H366+H373+H379+H383+H385+H387++H402+H446+H451+H453+H463+H466+H471+H475+H479+H432+H483+H485+H488+H490+H352+H502+H505+H507+H391+H354+H510+H508+H516+H512+H519</f>
        <v>8021.999999999999</v>
      </c>
      <c r="I522" s="85"/>
      <c r="J522" s="303" t="s">
        <v>516</v>
      </c>
      <c r="K522" s="547"/>
      <c r="L522" s="62"/>
      <c r="M522" s="27"/>
      <c r="N522" s="26"/>
    </row>
    <row r="523" spans="1:13" s="19" customFormat="1" ht="17.25" customHeight="1">
      <c r="A523" s="94"/>
      <c r="B523" s="451"/>
      <c r="C523" s="446"/>
      <c r="D523" s="252">
        <v>2016</v>
      </c>
      <c r="E523" s="85">
        <f>F523+G523+H523</f>
        <v>100076.9</v>
      </c>
      <c r="F523" s="85">
        <f>F351+F362+F389+F403+F448+F455+F464+F468+F472+F476+F392+F359+F365+F368+F481+F484+F487+F489+F501+F504+F506+F511+F509+F517+F374+F514+F515+F513+F520</f>
        <v>0</v>
      </c>
      <c r="G523" s="85">
        <v>93170</v>
      </c>
      <c r="H523" s="85">
        <f>H351+H362+H389+H403+H448+H455+H464+H468+H472+H476+H392+H359+H365+H368+H481+H484+H487+H489+H501+H504+H506+H511+H509+H517+H374+H514+H515+H513+H520</f>
        <v>6906.9</v>
      </c>
      <c r="I523" s="85"/>
      <c r="J523" s="85" t="s">
        <v>440</v>
      </c>
      <c r="K523" s="547"/>
      <c r="L523" s="63"/>
      <c r="M523" s="21"/>
    </row>
    <row r="524" spans="1:13" s="19" customFormat="1" ht="17.25" customHeight="1">
      <c r="A524" s="94"/>
      <c r="B524" s="451"/>
      <c r="C524" s="446"/>
      <c r="D524" s="252">
        <v>2017</v>
      </c>
      <c r="E524" s="85">
        <f>F524+G524+H524</f>
        <v>97260</v>
      </c>
      <c r="F524" s="85">
        <f>F458+F449+F456+F465+F469+F474+F477+F4932+F482+F390+F518</f>
        <v>0</v>
      </c>
      <c r="G524" s="85">
        <v>93170</v>
      </c>
      <c r="H524" s="85">
        <f>H458+H449+H456+H465+H469+H474+H477+H4932+H482+H390+H518</f>
        <v>4090</v>
      </c>
      <c r="I524" s="85"/>
      <c r="J524" s="85" t="s">
        <v>441</v>
      </c>
      <c r="K524" s="547"/>
      <c r="L524" s="63"/>
      <c r="M524" s="21"/>
    </row>
    <row r="525" spans="1:13" s="19" customFormat="1" ht="17.25" customHeight="1" thickBot="1">
      <c r="A525" s="341"/>
      <c r="B525" s="512"/>
      <c r="C525" s="490"/>
      <c r="D525" s="342">
        <v>2018</v>
      </c>
      <c r="E525" s="343">
        <f>F525+G525+H525</f>
        <v>124399.4</v>
      </c>
      <c r="F525" s="343">
        <f>F457+F461+F478</f>
        <v>0</v>
      </c>
      <c r="G525" s="343">
        <v>121784.4</v>
      </c>
      <c r="H525" s="343">
        <f>H457+H461+H478</f>
        <v>2615</v>
      </c>
      <c r="I525" s="344"/>
      <c r="J525" s="343" t="s">
        <v>442</v>
      </c>
      <c r="K525" s="611"/>
      <c r="L525" s="63"/>
      <c r="M525" s="21"/>
    </row>
    <row r="526" spans="1:14" ht="18" customHeight="1" thickTop="1">
      <c r="A526" s="505" t="s">
        <v>506</v>
      </c>
      <c r="B526" s="506"/>
      <c r="C526" s="506"/>
      <c r="D526" s="506"/>
      <c r="E526" s="506"/>
      <c r="F526" s="506"/>
      <c r="G526" s="506"/>
      <c r="H526" s="506"/>
      <c r="I526" s="506"/>
      <c r="J526" s="506"/>
      <c r="K526" s="507"/>
      <c r="L526" s="64"/>
      <c r="M526" s="10"/>
      <c r="N526" s="10"/>
    </row>
    <row r="527" spans="1:13" ht="131.25" customHeight="1">
      <c r="A527" s="299" t="s">
        <v>394</v>
      </c>
      <c r="B527" s="101" t="s">
        <v>316</v>
      </c>
      <c r="C527" s="88" t="s">
        <v>253</v>
      </c>
      <c r="D527" s="277">
        <v>2014</v>
      </c>
      <c r="E527" s="102">
        <f aca="true" t="shared" si="16" ref="E527:E547">SUM(F527:I527)</f>
        <v>6930</v>
      </c>
      <c r="F527" s="103">
        <v>1300</v>
      </c>
      <c r="G527" s="103">
        <f>5000+300</f>
        <v>5300</v>
      </c>
      <c r="H527" s="103">
        <f>250+80</f>
        <v>330</v>
      </c>
      <c r="I527" s="222"/>
      <c r="J527" s="79" t="s">
        <v>14</v>
      </c>
      <c r="K527" s="345" t="s">
        <v>83</v>
      </c>
      <c r="L527" s="63"/>
      <c r="M527" s="8"/>
    </row>
    <row r="528" spans="1:13" s="3" customFormat="1" ht="15" customHeight="1" hidden="1">
      <c r="A528" s="190"/>
      <c r="B528" s="346"/>
      <c r="C528" s="316"/>
      <c r="D528" s="347"/>
      <c r="E528" s="348"/>
      <c r="F528" s="275"/>
      <c r="G528" s="275"/>
      <c r="H528" s="275"/>
      <c r="I528" s="275"/>
      <c r="J528" s="349"/>
      <c r="K528" s="146"/>
      <c r="L528" s="62"/>
      <c r="M528" s="9"/>
    </row>
    <row r="529" spans="1:13" ht="17.25" customHeight="1" hidden="1">
      <c r="A529" s="449" t="s">
        <v>328</v>
      </c>
      <c r="B529" s="438" t="s">
        <v>317</v>
      </c>
      <c r="C529" s="436" t="s">
        <v>253</v>
      </c>
      <c r="D529" s="349">
        <v>2014</v>
      </c>
      <c r="E529" s="85">
        <f t="shared" si="16"/>
        <v>0</v>
      </c>
      <c r="F529" s="107"/>
      <c r="G529" s="107">
        <f>5000-312-4688</f>
        <v>0</v>
      </c>
      <c r="H529" s="107">
        <f>250-250</f>
        <v>0</v>
      </c>
      <c r="I529" s="216"/>
      <c r="J529" s="93" t="s">
        <v>73</v>
      </c>
      <c r="K529" s="482" t="s">
        <v>84</v>
      </c>
      <c r="L529" s="63"/>
      <c r="M529" s="8"/>
    </row>
    <row r="530" spans="1:13" ht="23.25" customHeight="1" hidden="1">
      <c r="A530" s="452"/>
      <c r="B530" s="439"/>
      <c r="C530" s="446"/>
      <c r="D530" s="349">
        <v>2017</v>
      </c>
      <c r="E530" s="85">
        <f>F530+G530+H530+I530</f>
        <v>0</v>
      </c>
      <c r="F530" s="107">
        <f>7000-7000</f>
        <v>0</v>
      </c>
      <c r="G530" s="107">
        <f>5000-5000</f>
        <v>0</v>
      </c>
      <c r="H530" s="107">
        <f>1211-1211</f>
        <v>0</v>
      </c>
      <c r="I530" s="216"/>
      <c r="J530" s="99"/>
      <c r="K530" s="483"/>
      <c r="L530" s="63"/>
      <c r="M530" s="8"/>
    </row>
    <row r="531" spans="1:13" ht="16.5" customHeight="1">
      <c r="A531" s="449" t="s">
        <v>176</v>
      </c>
      <c r="B531" s="438" t="s">
        <v>275</v>
      </c>
      <c r="C531" s="436" t="s">
        <v>253</v>
      </c>
      <c r="D531" s="349">
        <v>2014</v>
      </c>
      <c r="E531" s="85">
        <f>G531+H531</f>
        <v>1260</v>
      </c>
      <c r="F531" s="107"/>
      <c r="G531" s="107">
        <f>4000-2800</f>
        <v>1200</v>
      </c>
      <c r="H531" s="107">
        <f>217-157</f>
        <v>60</v>
      </c>
      <c r="I531" s="216"/>
      <c r="J531" s="93"/>
      <c r="K531" s="479" t="s">
        <v>84</v>
      </c>
      <c r="L531" s="63"/>
      <c r="M531" s="8"/>
    </row>
    <row r="532" spans="1:13" ht="79.5" customHeight="1">
      <c r="A532" s="450"/>
      <c r="B532" s="451"/>
      <c r="C532" s="437"/>
      <c r="D532" s="349">
        <v>2015</v>
      </c>
      <c r="E532" s="85">
        <f>F532+G532+H532</f>
        <v>1224.4</v>
      </c>
      <c r="F532" s="107"/>
      <c r="G532" s="107">
        <v>1200</v>
      </c>
      <c r="H532" s="107">
        <v>24.4</v>
      </c>
      <c r="I532" s="216"/>
      <c r="J532" s="104"/>
      <c r="K532" s="480"/>
      <c r="L532" s="63"/>
      <c r="M532" s="8"/>
    </row>
    <row r="533" spans="1:13" ht="17.25" customHeight="1" hidden="1">
      <c r="A533" s="452"/>
      <c r="B533" s="439"/>
      <c r="C533" s="88"/>
      <c r="D533" s="349"/>
      <c r="E533" s="85">
        <v>0</v>
      </c>
      <c r="F533" s="107"/>
      <c r="G533" s="107">
        <v>0</v>
      </c>
      <c r="H533" s="107">
        <v>0</v>
      </c>
      <c r="I533" s="216"/>
      <c r="J533" s="104"/>
      <c r="K533" s="481"/>
      <c r="L533" s="63"/>
      <c r="M533" s="8"/>
    </row>
    <row r="534" spans="1:13" ht="18" customHeight="1">
      <c r="A534" s="449" t="s">
        <v>177</v>
      </c>
      <c r="B534" s="438" t="s">
        <v>318</v>
      </c>
      <c r="C534" s="446" t="s">
        <v>253</v>
      </c>
      <c r="D534" s="211">
        <v>2014</v>
      </c>
      <c r="E534" s="85">
        <f t="shared" si="16"/>
        <v>30131</v>
      </c>
      <c r="F534" s="107">
        <v>29500</v>
      </c>
      <c r="G534" s="107">
        <f>12269-12269</f>
        <v>0</v>
      </c>
      <c r="H534" s="107">
        <v>631</v>
      </c>
      <c r="I534" s="216"/>
      <c r="J534" s="99" t="s">
        <v>15</v>
      </c>
      <c r="K534" s="482" t="s">
        <v>84</v>
      </c>
      <c r="L534" s="63"/>
      <c r="M534" s="8"/>
    </row>
    <row r="535" spans="1:13" ht="88.5" customHeight="1">
      <c r="A535" s="450"/>
      <c r="B535" s="451"/>
      <c r="C535" s="446"/>
      <c r="D535" s="211">
        <v>2015</v>
      </c>
      <c r="E535" s="85">
        <f t="shared" si="16"/>
        <v>29869</v>
      </c>
      <c r="F535" s="107">
        <f>10000+10000-20000+13380</f>
        <v>13380</v>
      </c>
      <c r="G535" s="107">
        <v>15989</v>
      </c>
      <c r="H535" s="107">
        <v>500</v>
      </c>
      <c r="I535" s="216"/>
      <c r="J535" s="99"/>
      <c r="K535" s="526"/>
      <c r="L535" s="63"/>
      <c r="M535" s="8"/>
    </row>
    <row r="536" spans="1:13" ht="15.75" customHeight="1" hidden="1">
      <c r="A536" s="452"/>
      <c r="B536" s="439"/>
      <c r="C536" s="437"/>
      <c r="D536" s="211"/>
      <c r="E536" s="85">
        <f t="shared" si="16"/>
        <v>0</v>
      </c>
      <c r="F536" s="107">
        <v>0</v>
      </c>
      <c r="G536" s="107">
        <v>0</v>
      </c>
      <c r="H536" s="107">
        <v>0</v>
      </c>
      <c r="I536" s="216"/>
      <c r="J536" s="104"/>
      <c r="K536" s="483"/>
      <c r="L536" s="63"/>
      <c r="M536" s="8"/>
    </row>
    <row r="537" spans="1:13" ht="15.75" customHeight="1" hidden="1">
      <c r="A537" s="94"/>
      <c r="B537" s="95"/>
      <c r="C537" s="350"/>
      <c r="D537" s="96">
        <v>2016</v>
      </c>
      <c r="E537" s="85">
        <f t="shared" si="16"/>
        <v>0</v>
      </c>
      <c r="F537" s="98"/>
      <c r="G537" s="273">
        <v>0</v>
      </c>
      <c r="H537" s="98">
        <v>0</v>
      </c>
      <c r="I537" s="273"/>
      <c r="J537" s="99"/>
      <c r="K537" s="345"/>
      <c r="L537" s="63"/>
      <c r="M537" s="8"/>
    </row>
    <row r="538" spans="1:13" ht="24" customHeight="1">
      <c r="A538" s="494" t="s">
        <v>178</v>
      </c>
      <c r="B538" s="438" t="s">
        <v>319</v>
      </c>
      <c r="C538" s="522" t="s">
        <v>253</v>
      </c>
      <c r="D538" s="96">
        <v>2014</v>
      </c>
      <c r="E538" s="351">
        <f t="shared" si="16"/>
        <v>14585.43</v>
      </c>
      <c r="F538" s="98"/>
      <c r="G538" s="273">
        <f>10000+3519.43</f>
        <v>13519.43</v>
      </c>
      <c r="H538" s="98">
        <v>1066</v>
      </c>
      <c r="I538" s="273"/>
      <c r="J538" s="436" t="s">
        <v>71</v>
      </c>
      <c r="K538" s="140" t="s">
        <v>84</v>
      </c>
      <c r="L538" s="63"/>
      <c r="M538" s="8"/>
    </row>
    <row r="539" spans="1:13" ht="84" customHeight="1">
      <c r="A539" s="533"/>
      <c r="B539" s="439"/>
      <c r="C539" s="523"/>
      <c r="D539" s="277"/>
      <c r="E539" s="348"/>
      <c r="F539" s="103"/>
      <c r="G539" s="275"/>
      <c r="H539" s="103"/>
      <c r="I539" s="275"/>
      <c r="J539" s="437"/>
      <c r="K539" s="146"/>
      <c r="L539" s="63"/>
      <c r="M539" s="8"/>
    </row>
    <row r="540" spans="1:20" ht="40.5" customHeight="1" hidden="1">
      <c r="A540" s="299" t="s">
        <v>117</v>
      </c>
      <c r="B540" s="101" t="s">
        <v>311</v>
      </c>
      <c r="C540" s="88" t="s">
        <v>253</v>
      </c>
      <c r="D540" s="277">
        <v>2015</v>
      </c>
      <c r="E540" s="102">
        <f t="shared" si="16"/>
        <v>0</v>
      </c>
      <c r="F540" s="103"/>
      <c r="G540" s="103">
        <f>6500-6500</f>
        <v>0</v>
      </c>
      <c r="H540" s="103">
        <v>0</v>
      </c>
      <c r="I540" s="222"/>
      <c r="J540" s="104"/>
      <c r="K540" s="134" t="s">
        <v>84</v>
      </c>
      <c r="L540" s="62"/>
      <c r="M540" s="9"/>
      <c r="N540" s="3"/>
      <c r="O540" s="3"/>
      <c r="P540" s="3"/>
      <c r="Q540" s="3"/>
      <c r="R540" s="3"/>
      <c r="S540" s="3"/>
      <c r="T540" s="3"/>
    </row>
    <row r="541" spans="1:20" ht="84.75" customHeight="1">
      <c r="A541" s="90" t="s">
        <v>179</v>
      </c>
      <c r="B541" s="91" t="s">
        <v>311</v>
      </c>
      <c r="C541" s="87" t="s">
        <v>253</v>
      </c>
      <c r="D541" s="211">
        <v>2014</v>
      </c>
      <c r="E541" s="85">
        <f t="shared" si="16"/>
        <v>12309</v>
      </c>
      <c r="F541" s="107">
        <f>8400-8400</f>
        <v>0</v>
      </c>
      <c r="G541" s="107">
        <f>13209-1600</f>
        <v>11609</v>
      </c>
      <c r="H541" s="107">
        <v>700</v>
      </c>
      <c r="I541" s="216"/>
      <c r="J541" s="93" t="s">
        <v>16</v>
      </c>
      <c r="K541" s="134" t="s">
        <v>84</v>
      </c>
      <c r="L541" s="65"/>
      <c r="M541" s="3"/>
      <c r="N541" s="3"/>
      <c r="O541" s="3"/>
      <c r="P541" s="3"/>
      <c r="Q541" s="3"/>
      <c r="R541" s="3"/>
      <c r="S541" s="3"/>
      <c r="T541" s="3"/>
    </row>
    <row r="542" spans="1:20" ht="27.75" customHeight="1">
      <c r="A542" s="449" t="s">
        <v>180</v>
      </c>
      <c r="B542" s="438" t="s">
        <v>320</v>
      </c>
      <c r="C542" s="436" t="s">
        <v>253</v>
      </c>
      <c r="D542" s="211">
        <v>2014</v>
      </c>
      <c r="E542" s="85">
        <f t="shared" si="16"/>
        <v>94270</v>
      </c>
      <c r="F542" s="107"/>
      <c r="G542" s="107">
        <f>25000+11697.3-709+25872.7+24790.8+4688-164.8</f>
        <v>91175</v>
      </c>
      <c r="H542" s="107">
        <f>1950+1145</f>
        <v>3095</v>
      </c>
      <c r="I542" s="216"/>
      <c r="J542" s="436" t="s">
        <v>72</v>
      </c>
      <c r="K542" s="482" t="s">
        <v>84</v>
      </c>
      <c r="L542" s="60"/>
      <c r="M542" s="3"/>
      <c r="N542" s="3"/>
      <c r="O542" s="3"/>
      <c r="P542" s="3"/>
      <c r="Q542" s="3"/>
      <c r="R542" s="3"/>
      <c r="S542" s="3"/>
      <c r="T542" s="3"/>
    </row>
    <row r="543" spans="1:20" ht="57" customHeight="1">
      <c r="A543" s="450"/>
      <c r="B543" s="451"/>
      <c r="C543" s="446"/>
      <c r="D543" s="211">
        <v>2015</v>
      </c>
      <c r="E543" s="85">
        <f t="shared" si="16"/>
        <v>26727.533</v>
      </c>
      <c r="F543" s="107"/>
      <c r="G543" s="352">
        <v>26077.333</v>
      </c>
      <c r="H543" s="107">
        <v>650.2</v>
      </c>
      <c r="I543" s="216"/>
      <c r="J543" s="437"/>
      <c r="K543" s="526"/>
      <c r="L543" s="60"/>
      <c r="M543" s="3"/>
      <c r="N543" s="3"/>
      <c r="O543" s="3"/>
      <c r="P543" s="3"/>
      <c r="Q543" s="3"/>
      <c r="R543" s="3"/>
      <c r="S543" s="3"/>
      <c r="T543" s="3"/>
    </row>
    <row r="544" spans="1:20" ht="17.25" customHeight="1" hidden="1">
      <c r="A544" s="450"/>
      <c r="B544" s="451"/>
      <c r="C544" s="446"/>
      <c r="D544" s="211"/>
      <c r="E544" s="85">
        <v>0</v>
      </c>
      <c r="F544" s="107"/>
      <c r="G544" s="107">
        <v>0</v>
      </c>
      <c r="H544" s="107">
        <v>0</v>
      </c>
      <c r="I544" s="216"/>
      <c r="J544" s="338"/>
      <c r="K544" s="483"/>
      <c r="L544" s="60"/>
      <c r="M544" s="3"/>
      <c r="N544" s="3"/>
      <c r="O544" s="3"/>
      <c r="P544" s="3"/>
      <c r="Q544" s="3"/>
      <c r="R544" s="3"/>
      <c r="S544" s="3"/>
      <c r="T544" s="3"/>
    </row>
    <row r="545" spans="1:20" ht="17.25" customHeight="1" hidden="1">
      <c r="A545" s="452"/>
      <c r="B545" s="439"/>
      <c r="C545" s="437"/>
      <c r="D545" s="211">
        <v>2016</v>
      </c>
      <c r="E545" s="85">
        <f>G545+H545</f>
        <v>13000</v>
      </c>
      <c r="F545" s="107"/>
      <c r="G545" s="107">
        <v>12500</v>
      </c>
      <c r="H545" s="107">
        <v>500</v>
      </c>
      <c r="I545" s="216"/>
      <c r="J545" s="338"/>
      <c r="K545" s="146"/>
      <c r="L545" s="60"/>
      <c r="M545" s="3"/>
      <c r="N545" s="3"/>
      <c r="O545" s="3"/>
      <c r="P545" s="3"/>
      <c r="Q545" s="3"/>
      <c r="R545" s="3"/>
      <c r="S545" s="3"/>
      <c r="T545" s="3"/>
    </row>
    <row r="546" spans="1:20" ht="90.75" customHeight="1">
      <c r="A546" s="229" t="s">
        <v>181</v>
      </c>
      <c r="B546" s="194" t="s">
        <v>321</v>
      </c>
      <c r="C546" s="199" t="s">
        <v>253</v>
      </c>
      <c r="D546" s="211">
        <v>2014</v>
      </c>
      <c r="E546" s="85">
        <f>F546+G546+H546+I546</f>
        <v>3910.8</v>
      </c>
      <c r="F546" s="107"/>
      <c r="G546" s="107">
        <f>1736+2321-360.2</f>
        <v>3696.8</v>
      </c>
      <c r="H546" s="107">
        <f>100+114</f>
        <v>214</v>
      </c>
      <c r="I546" s="216"/>
      <c r="J546" s="249" t="s">
        <v>17</v>
      </c>
      <c r="K546" s="124" t="s">
        <v>84</v>
      </c>
      <c r="L546" s="60"/>
      <c r="M546" s="3"/>
      <c r="N546" s="3"/>
      <c r="O546" s="3"/>
      <c r="P546" s="3"/>
      <c r="Q546" s="3"/>
      <c r="R546" s="3"/>
      <c r="S546" s="3"/>
      <c r="T546" s="3"/>
    </row>
    <row r="547" spans="1:20" ht="21.75" customHeight="1">
      <c r="A547" s="449" t="s">
        <v>182</v>
      </c>
      <c r="B547" s="438" t="s">
        <v>308</v>
      </c>
      <c r="C547" s="436" t="s">
        <v>253</v>
      </c>
      <c r="D547" s="211">
        <v>2014</v>
      </c>
      <c r="E547" s="85">
        <f t="shared" si="16"/>
        <v>2142</v>
      </c>
      <c r="F547" s="107"/>
      <c r="G547" s="107">
        <f>6800.7-4760.7</f>
        <v>2040</v>
      </c>
      <c r="H547" s="107">
        <f>726-624</f>
        <v>102</v>
      </c>
      <c r="I547" s="216"/>
      <c r="J547" s="93"/>
      <c r="K547" s="479" t="s">
        <v>84</v>
      </c>
      <c r="L547" s="60"/>
      <c r="M547" s="3"/>
      <c r="N547" s="3"/>
      <c r="O547" s="3"/>
      <c r="P547" s="3"/>
      <c r="Q547" s="3"/>
      <c r="R547" s="3"/>
      <c r="S547" s="3"/>
      <c r="T547" s="3"/>
    </row>
    <row r="548" spans="1:20" ht="57" customHeight="1">
      <c r="A548" s="450"/>
      <c r="B548" s="451"/>
      <c r="C548" s="446"/>
      <c r="D548" s="211">
        <v>2015</v>
      </c>
      <c r="E548" s="85">
        <f>F548+G548+H548+I548</f>
        <v>7315</v>
      </c>
      <c r="F548" s="107"/>
      <c r="G548" s="107">
        <f>7200-300</f>
        <v>6900</v>
      </c>
      <c r="H548" s="107">
        <v>415</v>
      </c>
      <c r="I548" s="216"/>
      <c r="J548" s="99"/>
      <c r="K548" s="480"/>
      <c r="L548" s="60"/>
      <c r="M548" s="3"/>
      <c r="N548" s="3"/>
      <c r="O548" s="3"/>
      <c r="P548" s="3"/>
      <c r="Q548" s="3"/>
      <c r="R548" s="3"/>
      <c r="S548" s="3"/>
      <c r="T548" s="3"/>
    </row>
    <row r="549" spans="1:20" ht="15.75" customHeight="1" hidden="1">
      <c r="A549" s="100"/>
      <c r="B549" s="101"/>
      <c r="C549" s="88"/>
      <c r="D549" s="211"/>
      <c r="E549" s="85">
        <f>G549+H549</f>
        <v>0</v>
      </c>
      <c r="F549" s="107"/>
      <c r="G549" s="107">
        <v>0</v>
      </c>
      <c r="H549" s="107">
        <v>0</v>
      </c>
      <c r="I549" s="216"/>
      <c r="J549" s="104"/>
      <c r="K549" s="481"/>
      <c r="L549" s="60"/>
      <c r="M549" s="3"/>
      <c r="N549" s="3"/>
      <c r="O549" s="3"/>
      <c r="P549" s="3"/>
      <c r="Q549" s="3"/>
      <c r="R549" s="3"/>
      <c r="S549" s="3"/>
      <c r="T549" s="3"/>
    </row>
    <row r="550" spans="1:20" ht="15" customHeight="1">
      <c r="A550" s="449" t="s">
        <v>183</v>
      </c>
      <c r="B550" s="438" t="s">
        <v>322</v>
      </c>
      <c r="C550" s="436" t="s">
        <v>253</v>
      </c>
      <c r="D550" s="211">
        <v>2014</v>
      </c>
      <c r="E550" s="85">
        <f>G550+H550</f>
        <v>1925</v>
      </c>
      <c r="F550" s="107"/>
      <c r="G550" s="107">
        <f>2612-1312+360.2+164.8</f>
        <v>1825</v>
      </c>
      <c r="H550" s="107">
        <f>138-69+21+10</f>
        <v>100</v>
      </c>
      <c r="I550" s="216"/>
      <c r="J550" s="93"/>
      <c r="K550" s="482" t="s">
        <v>84</v>
      </c>
      <c r="L550" s="60"/>
      <c r="M550" s="3"/>
      <c r="N550" s="3"/>
      <c r="O550" s="3"/>
      <c r="P550" s="3"/>
      <c r="Q550" s="3"/>
      <c r="R550" s="3"/>
      <c r="S550" s="3"/>
      <c r="T550" s="3"/>
    </row>
    <row r="551" spans="1:20" ht="66" customHeight="1">
      <c r="A551" s="450"/>
      <c r="B551" s="451"/>
      <c r="C551" s="446"/>
      <c r="D551" s="211">
        <v>2015</v>
      </c>
      <c r="E551" s="85">
        <f>G551+H551</f>
        <v>825</v>
      </c>
      <c r="F551" s="107"/>
      <c r="G551" s="107">
        <v>783</v>
      </c>
      <c r="H551" s="107">
        <v>42</v>
      </c>
      <c r="I551" s="216"/>
      <c r="J551" s="104"/>
      <c r="K551" s="526"/>
      <c r="L551" s="60"/>
      <c r="M551" s="3"/>
      <c r="N551" s="3"/>
      <c r="O551" s="3"/>
      <c r="P551" s="3"/>
      <c r="Q551" s="3"/>
      <c r="R551" s="3"/>
      <c r="S551" s="3"/>
      <c r="T551" s="3"/>
    </row>
    <row r="552" spans="1:20" ht="34.5" customHeight="1" hidden="1">
      <c r="A552" s="452"/>
      <c r="B552" s="439"/>
      <c r="C552" s="437"/>
      <c r="D552" s="211">
        <v>2017</v>
      </c>
      <c r="E552" s="85">
        <v>0</v>
      </c>
      <c r="F552" s="107">
        <v>0</v>
      </c>
      <c r="G552" s="107">
        <v>0</v>
      </c>
      <c r="H552" s="107">
        <v>0</v>
      </c>
      <c r="I552" s="216"/>
      <c r="J552" s="104"/>
      <c r="K552" s="483"/>
      <c r="L552" s="60"/>
      <c r="M552" s="3"/>
      <c r="N552" s="3"/>
      <c r="O552" s="3"/>
      <c r="P552" s="3"/>
      <c r="Q552" s="3"/>
      <c r="R552" s="3"/>
      <c r="S552" s="3"/>
      <c r="T552" s="3"/>
    </row>
    <row r="553" spans="1:20" ht="84.75" customHeight="1">
      <c r="A553" s="449" t="s">
        <v>443</v>
      </c>
      <c r="B553" s="438" t="s">
        <v>324</v>
      </c>
      <c r="C553" s="436" t="s">
        <v>253</v>
      </c>
      <c r="D553" s="96">
        <v>2015</v>
      </c>
      <c r="E553" s="97">
        <f>G553+H553</f>
        <v>3458.814</v>
      </c>
      <c r="F553" s="98"/>
      <c r="G553" s="352">
        <v>3298.814</v>
      </c>
      <c r="H553" s="98">
        <v>160</v>
      </c>
      <c r="I553" s="92"/>
      <c r="J553" s="433"/>
      <c r="K553" s="527" t="s">
        <v>84</v>
      </c>
      <c r="L553" s="60"/>
      <c r="M553" s="3"/>
      <c r="N553" s="3"/>
      <c r="O553" s="3"/>
      <c r="P553" s="3"/>
      <c r="Q553" s="3"/>
      <c r="R553" s="3"/>
      <c r="S553" s="3"/>
      <c r="T553" s="3"/>
    </row>
    <row r="554" spans="1:20" ht="51" customHeight="1" hidden="1">
      <c r="A554" s="450"/>
      <c r="B554" s="451"/>
      <c r="C554" s="446"/>
      <c r="D554" s="96">
        <v>2016</v>
      </c>
      <c r="E554" s="97">
        <f>F554:F555+G554:G555+H554:H555</f>
        <v>16000</v>
      </c>
      <c r="F554" s="98">
        <v>10000</v>
      </c>
      <c r="G554" s="98">
        <v>5000</v>
      </c>
      <c r="H554" s="98">
        <v>1000</v>
      </c>
      <c r="I554" s="92"/>
      <c r="J554" s="434"/>
      <c r="K554" s="528"/>
      <c r="L554" s="60"/>
      <c r="M554" s="3"/>
      <c r="N554" s="3"/>
      <c r="O554" s="3"/>
      <c r="P554" s="3"/>
      <c r="Q554" s="3"/>
      <c r="R554" s="3"/>
      <c r="S554" s="3"/>
      <c r="T554" s="3"/>
    </row>
    <row r="555" spans="1:20" ht="5.25" customHeight="1">
      <c r="A555" s="450"/>
      <c r="B555" s="451"/>
      <c r="C555" s="353"/>
      <c r="D555" s="277"/>
      <c r="E555" s="102"/>
      <c r="F555" s="103"/>
      <c r="G555" s="103"/>
      <c r="H555" s="103"/>
      <c r="I555" s="103"/>
      <c r="J555" s="99"/>
      <c r="K555" s="528"/>
      <c r="L555" s="60"/>
      <c r="M555" s="3"/>
      <c r="N555" s="3"/>
      <c r="O555" s="3"/>
      <c r="P555" s="3"/>
      <c r="Q555" s="3"/>
      <c r="R555" s="3"/>
      <c r="S555" s="3"/>
      <c r="T555" s="3"/>
    </row>
    <row r="556" spans="1:20" ht="9" customHeight="1" hidden="1">
      <c r="A556" s="452"/>
      <c r="B556" s="439"/>
      <c r="C556" s="299"/>
      <c r="D556" s="96"/>
      <c r="E556" s="97"/>
      <c r="F556" s="98"/>
      <c r="G556" s="98"/>
      <c r="H556" s="98"/>
      <c r="I556" s="92"/>
      <c r="J556" s="104"/>
      <c r="K556" s="529"/>
      <c r="L556" s="60"/>
      <c r="M556" s="3"/>
      <c r="N556" s="3"/>
      <c r="O556" s="3"/>
      <c r="P556" s="3"/>
      <c r="Q556" s="3"/>
      <c r="R556" s="3"/>
      <c r="S556" s="3"/>
      <c r="T556" s="3"/>
    </row>
    <row r="557" spans="1:20" ht="13.5" customHeight="1">
      <c r="A557" s="449" t="s">
        <v>184</v>
      </c>
      <c r="B557" s="436" t="s">
        <v>326</v>
      </c>
      <c r="C557" s="227" t="s">
        <v>253</v>
      </c>
      <c r="D557" s="282">
        <v>2014</v>
      </c>
      <c r="E557" s="85">
        <f>F557+G557+H557+I557</f>
        <v>1890</v>
      </c>
      <c r="F557" s="322"/>
      <c r="G557" s="85">
        <f>6000-4200</f>
        <v>1800</v>
      </c>
      <c r="H557" s="322">
        <f>300-210</f>
        <v>90</v>
      </c>
      <c r="I557" s="85"/>
      <c r="J557" s="436"/>
      <c r="K557" s="482" t="s">
        <v>84</v>
      </c>
      <c r="L557" s="60"/>
      <c r="M557" s="3"/>
      <c r="N557" s="3"/>
      <c r="O557" s="3"/>
      <c r="P557" s="3"/>
      <c r="Q557" s="3"/>
      <c r="R557" s="3"/>
      <c r="S557" s="3"/>
      <c r="T557" s="3"/>
    </row>
    <row r="558" spans="1:20" ht="68.25" customHeight="1">
      <c r="A558" s="452"/>
      <c r="B558" s="437"/>
      <c r="C558" s="299"/>
      <c r="D558" s="263">
        <v>2015</v>
      </c>
      <c r="E558" s="102">
        <f>G558+H558</f>
        <v>1323.0140000000001</v>
      </c>
      <c r="F558" s="348"/>
      <c r="G558" s="352">
        <v>599.414</v>
      </c>
      <c r="H558" s="348">
        <v>723.6</v>
      </c>
      <c r="I558" s="102"/>
      <c r="J558" s="437"/>
      <c r="K558" s="483"/>
      <c r="L558" s="60"/>
      <c r="M558" s="3"/>
      <c r="N558" s="3"/>
      <c r="O558" s="3"/>
      <c r="P558" s="3"/>
      <c r="Q558" s="3"/>
      <c r="R558" s="3"/>
      <c r="S558" s="3"/>
      <c r="T558" s="3"/>
    </row>
    <row r="559" spans="1:12" s="3" customFormat="1" ht="27.75" customHeight="1" hidden="1">
      <c r="A559" s="224"/>
      <c r="B559" s="354"/>
      <c r="C559" s="350"/>
      <c r="D559" s="279"/>
      <c r="E559" s="280"/>
      <c r="F559" s="281"/>
      <c r="G559" s="281"/>
      <c r="H559" s="281"/>
      <c r="I559" s="281"/>
      <c r="J559" s="355"/>
      <c r="K559" s="356"/>
      <c r="L559" s="60"/>
    </row>
    <row r="560" spans="1:12" s="3" customFormat="1" ht="72" customHeight="1">
      <c r="A560" s="524" t="s">
        <v>576</v>
      </c>
      <c r="B560" s="597" t="s">
        <v>320</v>
      </c>
      <c r="C560" s="501" t="s">
        <v>253</v>
      </c>
      <c r="D560" s="211">
        <v>2015</v>
      </c>
      <c r="E560" s="85">
        <f>G560+H560</f>
        <v>16815.439</v>
      </c>
      <c r="F560" s="107"/>
      <c r="G560" s="352">
        <f>16215.439+450</f>
        <v>16665.439</v>
      </c>
      <c r="H560" s="107">
        <v>150</v>
      </c>
      <c r="I560" s="107"/>
      <c r="J560" s="436"/>
      <c r="K560" s="482" t="s">
        <v>84</v>
      </c>
      <c r="L560" s="60" t="s">
        <v>509</v>
      </c>
    </row>
    <row r="561" spans="1:12" s="3" customFormat="1" ht="52.5" customHeight="1" hidden="1">
      <c r="A561" s="524"/>
      <c r="B561" s="597"/>
      <c r="C561" s="501"/>
      <c r="D561" s="211">
        <v>2016</v>
      </c>
      <c r="E561" s="85">
        <f>G561+H561</f>
        <v>58145</v>
      </c>
      <c r="F561" s="107"/>
      <c r="G561" s="107">
        <f>10878.3+5000+5000+36766.7</f>
        <v>57645</v>
      </c>
      <c r="H561" s="107">
        <v>500</v>
      </c>
      <c r="I561" s="216"/>
      <c r="J561" s="446"/>
      <c r="K561" s="526"/>
      <c r="L561" s="60"/>
    </row>
    <row r="562" spans="1:20" ht="26.25" customHeight="1" hidden="1">
      <c r="A562" s="449" t="s">
        <v>118</v>
      </c>
      <c r="B562" s="438" t="s">
        <v>219</v>
      </c>
      <c r="C562" s="436" t="s">
        <v>253</v>
      </c>
      <c r="D562" s="211">
        <v>2015</v>
      </c>
      <c r="E562" s="85">
        <f>F562+G562+H562</f>
        <v>0</v>
      </c>
      <c r="F562" s="107">
        <v>0</v>
      </c>
      <c r="G562" s="107">
        <v>0</v>
      </c>
      <c r="H562" s="107">
        <v>0</v>
      </c>
      <c r="I562" s="216"/>
      <c r="J562" s="479"/>
      <c r="K562" s="482" t="s">
        <v>84</v>
      </c>
      <c r="L562" s="66"/>
      <c r="M562" s="4"/>
      <c r="N562" s="3"/>
      <c r="O562" s="3"/>
      <c r="P562" s="3"/>
      <c r="Q562" s="3"/>
      <c r="R562" s="3"/>
      <c r="S562" s="3"/>
      <c r="T562" s="3"/>
    </row>
    <row r="563" spans="1:20" ht="26.25" customHeight="1" hidden="1">
      <c r="A563" s="452"/>
      <c r="B563" s="439"/>
      <c r="C563" s="437"/>
      <c r="D563" s="211">
        <v>2016</v>
      </c>
      <c r="E563" s="85">
        <f>F563+G563+H563</f>
        <v>0</v>
      </c>
      <c r="F563" s="107">
        <v>0</v>
      </c>
      <c r="G563" s="107">
        <v>0</v>
      </c>
      <c r="H563" s="107">
        <v>0</v>
      </c>
      <c r="I563" s="107"/>
      <c r="J563" s="481"/>
      <c r="K563" s="483"/>
      <c r="L563" s="66"/>
      <c r="M563" s="4"/>
      <c r="N563" s="3"/>
      <c r="O563" s="3"/>
      <c r="P563" s="3"/>
      <c r="Q563" s="3"/>
      <c r="R563" s="3"/>
      <c r="S563" s="3"/>
      <c r="T563" s="3"/>
    </row>
    <row r="564" spans="1:20" ht="63" customHeight="1">
      <c r="A564" s="449" t="s">
        <v>185</v>
      </c>
      <c r="B564" s="438" t="s">
        <v>40</v>
      </c>
      <c r="C564" s="436" t="s">
        <v>253</v>
      </c>
      <c r="D564" s="96">
        <v>2015</v>
      </c>
      <c r="E564" s="96">
        <f>F564+G564+H564</f>
        <v>2100</v>
      </c>
      <c r="F564" s="96"/>
      <c r="G564" s="96">
        <v>2037</v>
      </c>
      <c r="H564" s="96">
        <v>63</v>
      </c>
      <c r="I564" s="456"/>
      <c r="J564" s="436"/>
      <c r="K564" s="482" t="s">
        <v>84</v>
      </c>
      <c r="L564" s="66"/>
      <c r="M564" s="4"/>
      <c r="N564" s="3"/>
      <c r="O564" s="3"/>
      <c r="P564" s="3"/>
      <c r="Q564" s="3"/>
      <c r="R564" s="3"/>
      <c r="S564" s="3"/>
      <c r="T564" s="3"/>
    </row>
    <row r="565" spans="1:20" ht="49.5" customHeight="1" hidden="1">
      <c r="A565" s="452"/>
      <c r="B565" s="439"/>
      <c r="C565" s="437"/>
      <c r="D565" s="96">
        <v>2016</v>
      </c>
      <c r="E565" s="96">
        <f>G565+H565</f>
        <v>3150</v>
      </c>
      <c r="F565" s="96"/>
      <c r="G565" s="96">
        <v>3055</v>
      </c>
      <c r="H565" s="96">
        <v>95</v>
      </c>
      <c r="I565" s="457"/>
      <c r="J565" s="446"/>
      <c r="K565" s="526"/>
      <c r="L565" s="66"/>
      <c r="M565" s="4"/>
      <c r="N565" s="3">
        <f>29440.7+22378.3-22378.3-22506.9</f>
        <v>6933.799999999999</v>
      </c>
      <c r="O565" s="3"/>
      <c r="P565" s="3"/>
      <c r="Q565" s="3"/>
      <c r="R565" s="3"/>
      <c r="S565" s="3"/>
      <c r="T565" s="3"/>
    </row>
    <row r="566" spans="1:20" ht="78" customHeight="1">
      <c r="A566" s="449" t="s">
        <v>186</v>
      </c>
      <c r="B566" s="438" t="s">
        <v>375</v>
      </c>
      <c r="C566" s="436" t="s">
        <v>253</v>
      </c>
      <c r="D566" s="211">
        <v>2015</v>
      </c>
      <c r="E566" s="85">
        <f>G566+H566</f>
        <v>6000</v>
      </c>
      <c r="F566" s="107"/>
      <c r="G566" s="107">
        <v>5000</v>
      </c>
      <c r="H566" s="107">
        <v>1000</v>
      </c>
      <c r="I566" s="530"/>
      <c r="J566" s="525"/>
      <c r="K566" s="609" t="s">
        <v>84</v>
      </c>
      <c r="L566" s="66"/>
      <c r="M566" s="4"/>
      <c r="N566" s="3"/>
      <c r="O566" s="3"/>
      <c r="P566" s="3"/>
      <c r="Q566" s="3"/>
      <c r="R566" s="3"/>
      <c r="S566" s="3"/>
      <c r="T566" s="3"/>
    </row>
    <row r="567" spans="1:20" ht="26.25" customHeight="1" hidden="1">
      <c r="A567" s="452"/>
      <c r="B567" s="439"/>
      <c r="C567" s="437"/>
      <c r="D567" s="210">
        <v>2016</v>
      </c>
      <c r="E567" s="85">
        <f>G567+H567</f>
        <v>12000</v>
      </c>
      <c r="F567" s="107"/>
      <c r="G567" s="107">
        <v>5000</v>
      </c>
      <c r="H567" s="107">
        <v>7000</v>
      </c>
      <c r="I567" s="530"/>
      <c r="J567" s="525"/>
      <c r="K567" s="609"/>
      <c r="L567" s="66"/>
      <c r="M567" s="4"/>
      <c r="N567" s="3"/>
      <c r="O567" s="3"/>
      <c r="P567" s="3"/>
      <c r="Q567" s="3"/>
      <c r="R567" s="3"/>
      <c r="S567" s="3"/>
      <c r="T567" s="3"/>
    </row>
    <row r="568" spans="1:20" ht="86.25" customHeight="1">
      <c r="A568" s="524" t="s">
        <v>415</v>
      </c>
      <c r="B568" s="516" t="s">
        <v>103</v>
      </c>
      <c r="C568" s="525" t="s">
        <v>253</v>
      </c>
      <c r="D568" s="96">
        <v>2015</v>
      </c>
      <c r="E568" s="96">
        <f>F568+G568+H568</f>
        <v>1050</v>
      </c>
      <c r="F568" s="96"/>
      <c r="G568" s="96">
        <f>1100-150</f>
        <v>950</v>
      </c>
      <c r="H568" s="96">
        <v>100</v>
      </c>
      <c r="I568" s="456"/>
      <c r="J568" s="436"/>
      <c r="K568" s="482" t="s">
        <v>84</v>
      </c>
      <c r="L568" s="66"/>
      <c r="M568" s="4"/>
      <c r="N568" s="3"/>
      <c r="O568" s="3"/>
      <c r="P568" s="3"/>
      <c r="Q568" s="3"/>
      <c r="R568" s="3"/>
      <c r="S568" s="3"/>
      <c r="T568" s="3"/>
    </row>
    <row r="569" spans="1:20" ht="75.75" customHeight="1" hidden="1">
      <c r="A569" s="524"/>
      <c r="B569" s="516"/>
      <c r="C569" s="525"/>
      <c r="D569" s="96">
        <v>2016</v>
      </c>
      <c r="E569" s="96">
        <f>G569+H569</f>
        <v>12500</v>
      </c>
      <c r="F569" s="96"/>
      <c r="G569" s="96">
        <v>12000</v>
      </c>
      <c r="H569" s="96">
        <v>500</v>
      </c>
      <c r="I569" s="458"/>
      <c r="J569" s="437"/>
      <c r="K569" s="483"/>
      <c r="L569" s="66"/>
      <c r="M569" s="4"/>
      <c r="N569" s="3"/>
      <c r="O569" s="3"/>
      <c r="P569" s="3"/>
      <c r="Q569" s="3"/>
      <c r="R569" s="3"/>
      <c r="S569" s="3"/>
      <c r="T569" s="3"/>
    </row>
    <row r="570" spans="1:20" ht="75.75" customHeight="1" hidden="1">
      <c r="A570" s="136"/>
      <c r="B570" s="451" t="s">
        <v>34</v>
      </c>
      <c r="C570" s="446" t="s">
        <v>253</v>
      </c>
      <c r="D570" s="465"/>
      <c r="E570" s="467"/>
      <c r="F570" s="456"/>
      <c r="G570" s="456"/>
      <c r="H570" s="456"/>
      <c r="I570" s="456"/>
      <c r="J570" s="436"/>
      <c r="K570" s="140"/>
      <c r="L570" s="66"/>
      <c r="M570" s="4"/>
      <c r="N570" s="3"/>
      <c r="O570" s="3"/>
      <c r="P570" s="3"/>
      <c r="Q570" s="3"/>
      <c r="R570" s="3"/>
      <c r="S570" s="3"/>
      <c r="T570" s="3"/>
    </row>
    <row r="571" spans="1:20" ht="75.75" customHeight="1" hidden="1">
      <c r="A571" s="136"/>
      <c r="B571" s="439"/>
      <c r="C571" s="437"/>
      <c r="D571" s="466"/>
      <c r="E571" s="468"/>
      <c r="F571" s="458"/>
      <c r="G571" s="458"/>
      <c r="H571" s="458"/>
      <c r="I571" s="458"/>
      <c r="J571" s="437"/>
      <c r="K571" s="146"/>
      <c r="L571" s="66"/>
      <c r="M571" s="4"/>
      <c r="N571" s="3"/>
      <c r="O571" s="3"/>
      <c r="P571" s="3"/>
      <c r="Q571" s="3"/>
      <c r="R571" s="3"/>
      <c r="S571" s="3"/>
      <c r="T571" s="3"/>
    </row>
    <row r="572" spans="1:20" ht="75.75" customHeight="1" hidden="1">
      <c r="A572" s="224"/>
      <c r="B572" s="95"/>
      <c r="C572" s="357"/>
      <c r="D572" s="210"/>
      <c r="E572" s="177"/>
      <c r="F572" s="196"/>
      <c r="G572" s="196"/>
      <c r="H572" s="196"/>
      <c r="I572" s="310"/>
      <c r="J572" s="89"/>
      <c r="K572" s="345"/>
      <c r="L572" s="66"/>
      <c r="M572" s="4"/>
      <c r="N572" s="3"/>
      <c r="O572" s="3"/>
      <c r="P572" s="3"/>
      <c r="Q572" s="3"/>
      <c r="R572" s="3"/>
      <c r="S572" s="3"/>
      <c r="T572" s="3"/>
    </row>
    <row r="573" spans="1:20" ht="75.75" customHeight="1" hidden="1">
      <c r="A573" s="224"/>
      <c r="B573" s="95"/>
      <c r="C573" s="357"/>
      <c r="D573" s="210"/>
      <c r="E573" s="177"/>
      <c r="F573" s="196"/>
      <c r="G573" s="196"/>
      <c r="H573" s="196"/>
      <c r="I573" s="310"/>
      <c r="J573" s="89"/>
      <c r="K573" s="345"/>
      <c r="L573" s="66"/>
      <c r="M573" s="4"/>
      <c r="N573" s="3"/>
      <c r="O573" s="3"/>
      <c r="P573" s="3"/>
      <c r="Q573" s="3"/>
      <c r="R573" s="3"/>
      <c r="S573" s="3"/>
      <c r="T573" s="3"/>
    </row>
    <row r="574" spans="1:20" ht="75.75" customHeight="1" hidden="1">
      <c r="A574" s="224"/>
      <c r="B574" s="95"/>
      <c r="C574" s="357"/>
      <c r="D574" s="210"/>
      <c r="E574" s="177"/>
      <c r="F574" s="196"/>
      <c r="G574" s="196"/>
      <c r="H574" s="196"/>
      <c r="I574" s="310"/>
      <c r="J574" s="89"/>
      <c r="K574" s="345"/>
      <c r="L574" s="66"/>
      <c r="M574" s="4"/>
      <c r="N574" s="3"/>
      <c r="O574" s="3"/>
      <c r="P574" s="3"/>
      <c r="Q574" s="3"/>
      <c r="R574" s="3"/>
      <c r="S574" s="3"/>
      <c r="T574" s="3"/>
    </row>
    <row r="575" spans="1:20" ht="75.75" customHeight="1" hidden="1">
      <c r="A575" s="224"/>
      <c r="B575" s="95"/>
      <c r="C575" s="357"/>
      <c r="D575" s="210"/>
      <c r="E575" s="177"/>
      <c r="F575" s="196"/>
      <c r="G575" s="196"/>
      <c r="H575" s="196"/>
      <c r="I575" s="310"/>
      <c r="J575" s="89"/>
      <c r="K575" s="345"/>
      <c r="L575" s="66"/>
      <c r="M575" s="4"/>
      <c r="N575" s="3"/>
      <c r="O575" s="3"/>
      <c r="P575" s="3"/>
      <c r="Q575" s="3"/>
      <c r="R575" s="3"/>
      <c r="S575" s="3"/>
      <c r="T575" s="3"/>
    </row>
    <row r="576" spans="1:20" ht="75.75" customHeight="1" hidden="1">
      <c r="A576" s="224"/>
      <c r="B576" s="95"/>
      <c r="C576" s="357"/>
      <c r="D576" s="210"/>
      <c r="E576" s="177"/>
      <c r="F576" s="196"/>
      <c r="G576" s="196"/>
      <c r="H576" s="196"/>
      <c r="I576" s="310"/>
      <c r="J576" s="89"/>
      <c r="K576" s="345"/>
      <c r="L576" s="66"/>
      <c r="M576" s="4"/>
      <c r="N576" s="3"/>
      <c r="O576" s="3"/>
      <c r="P576" s="3"/>
      <c r="Q576" s="3"/>
      <c r="R576" s="3"/>
      <c r="S576" s="3"/>
      <c r="T576" s="3"/>
    </row>
    <row r="577" spans="1:20" ht="75.75" customHeight="1" hidden="1">
      <c r="A577" s="224"/>
      <c r="B577" s="95"/>
      <c r="C577" s="357"/>
      <c r="D577" s="210"/>
      <c r="E577" s="177"/>
      <c r="F577" s="196"/>
      <c r="G577" s="196"/>
      <c r="H577" s="196"/>
      <c r="I577" s="310"/>
      <c r="J577" s="89"/>
      <c r="K577" s="345"/>
      <c r="L577" s="66"/>
      <c r="M577" s="4"/>
      <c r="N577" s="3"/>
      <c r="O577" s="3"/>
      <c r="P577" s="3"/>
      <c r="Q577" s="3"/>
      <c r="R577" s="3"/>
      <c r="S577" s="3"/>
      <c r="T577" s="3"/>
    </row>
    <row r="578" spans="1:20" ht="75.75" customHeight="1" hidden="1">
      <c r="A578" s="224"/>
      <c r="B578" s="95"/>
      <c r="C578" s="357"/>
      <c r="D578" s="210"/>
      <c r="E578" s="177"/>
      <c r="F578" s="196"/>
      <c r="G578" s="196"/>
      <c r="H578" s="196"/>
      <c r="I578" s="310"/>
      <c r="J578" s="89"/>
      <c r="K578" s="345"/>
      <c r="L578" s="66"/>
      <c r="M578" s="4"/>
      <c r="N578" s="3"/>
      <c r="O578" s="3"/>
      <c r="P578" s="3"/>
      <c r="Q578" s="3"/>
      <c r="R578" s="3"/>
      <c r="S578" s="3"/>
      <c r="T578" s="3"/>
    </row>
    <row r="579" spans="1:20" ht="75.75" customHeight="1" hidden="1">
      <c r="A579" s="224"/>
      <c r="B579" s="95"/>
      <c r="C579" s="357"/>
      <c r="D579" s="210"/>
      <c r="E579" s="177"/>
      <c r="F579" s="196"/>
      <c r="G579" s="196"/>
      <c r="H579" s="196"/>
      <c r="I579" s="310"/>
      <c r="J579" s="89"/>
      <c r="K579" s="345"/>
      <c r="L579" s="66"/>
      <c r="M579" s="4"/>
      <c r="N579" s="3"/>
      <c r="O579" s="3"/>
      <c r="P579" s="3"/>
      <c r="Q579" s="3"/>
      <c r="R579" s="3"/>
      <c r="S579" s="3"/>
      <c r="T579" s="3"/>
    </row>
    <row r="580" spans="1:20" ht="75.75" customHeight="1" hidden="1">
      <c r="A580" s="224"/>
      <c r="B580" s="95"/>
      <c r="C580" s="357"/>
      <c r="D580" s="210"/>
      <c r="E580" s="177"/>
      <c r="F580" s="196"/>
      <c r="G580" s="196"/>
      <c r="H580" s="196"/>
      <c r="I580" s="310"/>
      <c r="J580" s="89"/>
      <c r="K580" s="345"/>
      <c r="L580" s="66"/>
      <c r="M580" s="4"/>
      <c r="N580" s="3"/>
      <c r="O580" s="3"/>
      <c r="P580" s="3"/>
      <c r="Q580" s="3"/>
      <c r="R580" s="3"/>
      <c r="S580" s="3"/>
      <c r="T580" s="3"/>
    </row>
    <row r="581" spans="1:20" ht="75.75" customHeight="1" hidden="1">
      <c r="A581" s="224"/>
      <c r="B581" s="95"/>
      <c r="C581" s="357"/>
      <c r="D581" s="210"/>
      <c r="E581" s="177"/>
      <c r="F581" s="196"/>
      <c r="G581" s="196"/>
      <c r="H581" s="196"/>
      <c r="I581" s="310"/>
      <c r="J581" s="89"/>
      <c r="K581" s="345"/>
      <c r="L581" s="66"/>
      <c r="M581" s="4"/>
      <c r="N581" s="3"/>
      <c r="O581" s="3"/>
      <c r="P581" s="3"/>
      <c r="Q581" s="3"/>
      <c r="R581" s="3"/>
      <c r="S581" s="3"/>
      <c r="T581" s="3"/>
    </row>
    <row r="582" spans="1:20" ht="75.75" customHeight="1" hidden="1">
      <c r="A582" s="224"/>
      <c r="B582" s="95"/>
      <c r="C582" s="357"/>
      <c r="D582" s="210"/>
      <c r="E582" s="177"/>
      <c r="F582" s="196"/>
      <c r="G582" s="196"/>
      <c r="H582" s="196"/>
      <c r="I582" s="310"/>
      <c r="J582" s="89"/>
      <c r="K582" s="345"/>
      <c r="L582" s="66"/>
      <c r="M582" s="4"/>
      <c r="N582" s="3"/>
      <c r="O582" s="3"/>
      <c r="P582" s="3"/>
      <c r="Q582" s="3"/>
      <c r="R582" s="3"/>
      <c r="S582" s="3"/>
      <c r="T582" s="3"/>
    </row>
    <row r="583" spans="1:20" ht="75.75" customHeight="1" hidden="1">
      <c r="A583" s="224"/>
      <c r="B583" s="95"/>
      <c r="C583" s="357"/>
      <c r="D583" s="210"/>
      <c r="E583" s="177"/>
      <c r="F583" s="196"/>
      <c r="G583" s="196"/>
      <c r="H583" s="196"/>
      <c r="I583" s="310"/>
      <c r="J583" s="89"/>
      <c r="K583" s="345"/>
      <c r="L583" s="66"/>
      <c r="M583" s="4"/>
      <c r="N583" s="3"/>
      <c r="O583" s="3"/>
      <c r="P583" s="3"/>
      <c r="Q583" s="3"/>
      <c r="R583" s="3"/>
      <c r="S583" s="3"/>
      <c r="T583" s="3"/>
    </row>
    <row r="584" spans="1:20" ht="68.25" customHeight="1">
      <c r="A584" s="449" t="s">
        <v>525</v>
      </c>
      <c r="B584" s="438" t="s">
        <v>119</v>
      </c>
      <c r="C584" s="436" t="s">
        <v>253</v>
      </c>
      <c r="D584" s="211">
        <v>2015</v>
      </c>
      <c r="E584" s="85">
        <f>F584+G584+H584</f>
        <v>550</v>
      </c>
      <c r="F584" s="107"/>
      <c r="G584" s="107">
        <v>500</v>
      </c>
      <c r="H584" s="107">
        <v>50</v>
      </c>
      <c r="I584" s="107"/>
      <c r="J584" s="436"/>
      <c r="K584" s="482" t="s">
        <v>84</v>
      </c>
      <c r="L584" s="66"/>
      <c r="M584" s="4"/>
      <c r="N584" s="3"/>
      <c r="O584" s="3"/>
      <c r="P584" s="3"/>
      <c r="Q584" s="3"/>
      <c r="R584" s="3"/>
      <c r="S584" s="3"/>
      <c r="T584" s="3"/>
    </row>
    <row r="585" spans="1:20" ht="11.25" customHeight="1" hidden="1">
      <c r="A585" s="452"/>
      <c r="B585" s="439"/>
      <c r="C585" s="437"/>
      <c r="D585" s="211">
        <v>2016</v>
      </c>
      <c r="E585" s="85">
        <f>G585+H585</f>
        <v>5000</v>
      </c>
      <c r="F585" s="107"/>
      <c r="G585" s="107">
        <v>4800</v>
      </c>
      <c r="H585" s="107">
        <v>200</v>
      </c>
      <c r="I585" s="107"/>
      <c r="J585" s="437"/>
      <c r="K585" s="483"/>
      <c r="L585" s="66"/>
      <c r="M585" s="4"/>
      <c r="N585" s="3"/>
      <c r="O585" s="3"/>
      <c r="P585" s="3"/>
      <c r="Q585" s="3"/>
      <c r="R585" s="3"/>
      <c r="S585" s="3"/>
      <c r="T585" s="3"/>
    </row>
    <row r="586" spans="1:20" ht="50.25" customHeight="1">
      <c r="A586" s="496" t="s">
        <v>9</v>
      </c>
      <c r="B586" s="438"/>
      <c r="C586" s="436"/>
      <c r="D586" s="252">
        <v>2014</v>
      </c>
      <c r="E586" s="85">
        <f>E527+E529+E534+E538+E541+E542+E546+E547+E550+E531+E557</f>
        <v>169353.22999999998</v>
      </c>
      <c r="F586" s="85">
        <f>F527+F529+F534+F538+F541+F542+F546+F547+F550+F531+F557</f>
        <v>30800</v>
      </c>
      <c r="G586" s="85">
        <f>G527+G529+G534+G538+G541+G542+G546+G547+G550+G531+G557</f>
        <v>132165.22999999998</v>
      </c>
      <c r="H586" s="85">
        <f>H527+H529+H534+H538+H541+H542+H546+H547+H550+H531+H557</f>
        <v>6388</v>
      </c>
      <c r="I586" s="85"/>
      <c r="J586" s="199" t="s">
        <v>0</v>
      </c>
      <c r="K586" s="520"/>
      <c r="L586" s="60"/>
      <c r="M586" s="3"/>
      <c r="N586" s="3"/>
      <c r="O586" s="3"/>
      <c r="P586" s="3"/>
      <c r="Q586" s="3"/>
      <c r="R586" s="3"/>
      <c r="S586" s="3"/>
      <c r="T586" s="3"/>
    </row>
    <row r="587" spans="1:20" ht="61.5" customHeight="1">
      <c r="A587" s="497"/>
      <c r="B587" s="451"/>
      <c r="C587" s="446"/>
      <c r="D587" s="252">
        <v>2015</v>
      </c>
      <c r="E587" s="85">
        <f>E535+E543+E548+E551+E532+E540+E558+E562+E553+E564+E568+E584+E560+E566</f>
        <v>97258.19999999998</v>
      </c>
      <c r="F587" s="85">
        <f>F535+F543+F548+F551+F532+F540+F558+F562+F553+F564+F568+F584+F560+F566</f>
        <v>13380</v>
      </c>
      <c r="G587" s="85">
        <f>G535+G543+G548+G551+G532+G540+G558+G562+G553+G564+G568+G584+G560+G566</f>
        <v>80000</v>
      </c>
      <c r="H587" s="85">
        <f>H535+H543+H548+H551+H532+H540+H558+H562+H553+H564+H568+H584+H560+H566</f>
        <v>3878.2000000000003</v>
      </c>
      <c r="I587" s="85"/>
      <c r="J587" s="199" t="s">
        <v>524</v>
      </c>
      <c r="K587" s="521"/>
      <c r="L587" s="60"/>
      <c r="M587" s="3"/>
      <c r="N587" s="3"/>
      <c r="O587" s="3"/>
      <c r="P587" s="3"/>
      <c r="Q587" s="3"/>
      <c r="R587" s="3"/>
      <c r="S587" s="3"/>
      <c r="T587" s="3"/>
    </row>
    <row r="588" spans="1:20" ht="60.75" customHeight="1" thickBot="1">
      <c r="A588" s="497"/>
      <c r="B588" s="451"/>
      <c r="C588" s="446"/>
      <c r="D588" s="358">
        <v>2016</v>
      </c>
      <c r="E588" s="177">
        <f>F588+G588+H588</f>
        <v>118445</v>
      </c>
      <c r="F588" s="177">
        <f>F536+F544+F556+F549+F533+F563+F554+F555+F561+F545+F565+F567+F569+F585</f>
        <v>10000</v>
      </c>
      <c r="G588" s="177">
        <f>G536+G544+G556+G549+G533+G563+G554+G555+G561+G545+G565+G567+G569+G585</f>
        <v>100000</v>
      </c>
      <c r="H588" s="177">
        <v>8445</v>
      </c>
      <c r="I588" s="359"/>
      <c r="J588" s="173" t="s">
        <v>438</v>
      </c>
      <c r="K588" s="521"/>
      <c r="L588" s="62"/>
      <c r="M588" s="9"/>
      <c r="N588" s="9"/>
      <c r="O588" s="3"/>
      <c r="P588" s="3"/>
      <c r="Q588" s="3"/>
      <c r="R588" s="3"/>
      <c r="S588" s="3"/>
      <c r="T588" s="3"/>
    </row>
    <row r="589" spans="1:12" s="33" customFormat="1" ht="18.75" customHeight="1" thickTop="1">
      <c r="A589" s="505" t="s">
        <v>507</v>
      </c>
      <c r="B589" s="506"/>
      <c r="C589" s="506"/>
      <c r="D589" s="506"/>
      <c r="E589" s="506"/>
      <c r="F589" s="506"/>
      <c r="G589" s="506"/>
      <c r="H589" s="506"/>
      <c r="I589" s="506"/>
      <c r="J589" s="506"/>
      <c r="K589" s="507"/>
      <c r="L589" s="67"/>
    </row>
    <row r="590" spans="1:12" s="33" customFormat="1" ht="19.5" customHeight="1">
      <c r="A590" s="494" t="s">
        <v>110</v>
      </c>
      <c r="B590" s="451" t="s">
        <v>321</v>
      </c>
      <c r="C590" s="446" t="s">
        <v>253</v>
      </c>
      <c r="D590" s="360">
        <v>2014</v>
      </c>
      <c r="E590" s="102">
        <f>F590+G590+H590</f>
        <v>3197.7</v>
      </c>
      <c r="F590" s="103">
        <v>0</v>
      </c>
      <c r="G590" s="103">
        <f>3201-173.3</f>
        <v>3027.7</v>
      </c>
      <c r="H590" s="103">
        <v>170</v>
      </c>
      <c r="I590" s="222"/>
      <c r="J590" s="339"/>
      <c r="K590" s="446" t="s">
        <v>80</v>
      </c>
      <c r="L590" s="67"/>
    </row>
    <row r="591" spans="1:12" s="33" customFormat="1" ht="59.25" customHeight="1">
      <c r="A591" s="508"/>
      <c r="B591" s="451"/>
      <c r="C591" s="501"/>
      <c r="D591" s="218">
        <v>2015</v>
      </c>
      <c r="E591" s="102">
        <f aca="true" t="shared" si="17" ref="E591:E619">F591+G591+H591</f>
        <v>36000</v>
      </c>
      <c r="F591" s="107">
        <v>5000</v>
      </c>
      <c r="G591" s="107">
        <v>30000</v>
      </c>
      <c r="H591" s="107">
        <v>1000</v>
      </c>
      <c r="I591" s="216"/>
      <c r="J591" s="339"/>
      <c r="K591" s="446"/>
      <c r="L591" s="67"/>
    </row>
    <row r="592" spans="1:12" s="33" customFormat="1" ht="48" customHeight="1" hidden="1">
      <c r="A592" s="509"/>
      <c r="B592" s="439"/>
      <c r="C592" s="501"/>
      <c r="D592" s="218">
        <v>2016</v>
      </c>
      <c r="E592" s="102">
        <f t="shared" si="17"/>
        <v>106700</v>
      </c>
      <c r="F592" s="107">
        <v>11900</v>
      </c>
      <c r="G592" s="107">
        <v>93000</v>
      </c>
      <c r="H592" s="107">
        <v>1800</v>
      </c>
      <c r="I592" s="216"/>
      <c r="J592" s="339"/>
      <c r="K592" s="446"/>
      <c r="L592" s="67"/>
    </row>
    <row r="593" spans="1:12" s="33" customFormat="1" ht="48" customHeight="1" hidden="1">
      <c r="A593" s="193" t="s">
        <v>296</v>
      </c>
      <c r="B593" s="451" t="s">
        <v>359</v>
      </c>
      <c r="C593" s="436" t="s">
        <v>253</v>
      </c>
      <c r="D593" s="361"/>
      <c r="E593" s="177"/>
      <c r="F593" s="273"/>
      <c r="G593" s="98"/>
      <c r="H593" s="273"/>
      <c r="I593" s="92"/>
      <c r="J593" s="339"/>
      <c r="K593" s="446"/>
      <c r="L593" s="67"/>
    </row>
    <row r="594" spans="1:12" s="33" customFormat="1" ht="48" customHeight="1" hidden="1">
      <c r="A594" s="190" t="s">
        <v>42</v>
      </c>
      <c r="B594" s="439"/>
      <c r="C594" s="514"/>
      <c r="D594" s="362"/>
      <c r="E594" s="177"/>
      <c r="F594" s="275"/>
      <c r="G594" s="103"/>
      <c r="H594" s="275"/>
      <c r="I594" s="222"/>
      <c r="J594" s="338"/>
      <c r="K594" s="437"/>
      <c r="L594" s="67"/>
    </row>
    <row r="595" spans="1:12" s="36" customFormat="1" ht="27" customHeight="1">
      <c r="A595" s="227" t="s">
        <v>421</v>
      </c>
      <c r="B595" s="438" t="s">
        <v>295</v>
      </c>
      <c r="C595" s="436" t="s">
        <v>253</v>
      </c>
      <c r="D595" s="447">
        <v>2015</v>
      </c>
      <c r="E595" s="467">
        <f>F597+G595+H595</f>
        <v>4126.8</v>
      </c>
      <c r="F595" s="456"/>
      <c r="G595" s="456">
        <v>3781.9</v>
      </c>
      <c r="H595" s="456">
        <v>344.9</v>
      </c>
      <c r="I595" s="456"/>
      <c r="J595" s="433"/>
      <c r="K595" s="436" t="s">
        <v>80</v>
      </c>
      <c r="L595" s="68"/>
    </row>
    <row r="596" spans="1:12" s="28" customFormat="1" ht="15.75" customHeight="1">
      <c r="A596" s="193" t="s">
        <v>270</v>
      </c>
      <c r="B596" s="451"/>
      <c r="C596" s="446"/>
      <c r="D596" s="517"/>
      <c r="E596" s="470"/>
      <c r="F596" s="457"/>
      <c r="G596" s="457"/>
      <c r="H596" s="457"/>
      <c r="I596" s="457"/>
      <c r="J596" s="434"/>
      <c r="K596" s="446"/>
      <c r="L596" s="55"/>
    </row>
    <row r="597" spans="1:12" s="28" customFormat="1" ht="15.75" customHeight="1">
      <c r="A597" s="190" t="s">
        <v>41</v>
      </c>
      <c r="B597" s="451"/>
      <c r="C597" s="446"/>
      <c r="D597" s="448"/>
      <c r="E597" s="468"/>
      <c r="F597" s="458"/>
      <c r="G597" s="458"/>
      <c r="H597" s="458"/>
      <c r="I597" s="458"/>
      <c r="J597" s="434"/>
      <c r="K597" s="446"/>
      <c r="L597" s="55"/>
    </row>
    <row r="598" spans="1:12" s="28" customFormat="1" ht="15.75" customHeight="1" hidden="1">
      <c r="A598" s="193" t="s">
        <v>271</v>
      </c>
      <c r="B598" s="451"/>
      <c r="C598" s="446"/>
      <c r="D598" s="447">
        <v>2015</v>
      </c>
      <c r="E598" s="467">
        <f>F598+G598+H598</f>
        <v>0</v>
      </c>
      <c r="F598" s="456">
        <v>0</v>
      </c>
      <c r="G598" s="456">
        <v>0</v>
      </c>
      <c r="H598" s="456">
        <v>0</v>
      </c>
      <c r="I598" s="456"/>
      <c r="J598" s="434"/>
      <c r="K598" s="446"/>
      <c r="L598" s="55"/>
    </row>
    <row r="599" spans="1:12" s="28" customFormat="1" ht="15.75" customHeight="1" hidden="1">
      <c r="A599" s="193" t="s">
        <v>44</v>
      </c>
      <c r="B599" s="451"/>
      <c r="C599" s="446"/>
      <c r="D599" s="448"/>
      <c r="E599" s="468"/>
      <c r="F599" s="458"/>
      <c r="G599" s="458"/>
      <c r="H599" s="458"/>
      <c r="I599" s="458"/>
      <c r="J599" s="434"/>
      <c r="K599" s="446"/>
      <c r="L599" s="55"/>
    </row>
    <row r="600" spans="1:12" s="28" customFormat="1" ht="15.75" customHeight="1" hidden="1">
      <c r="A600" s="190"/>
      <c r="B600" s="451"/>
      <c r="C600" s="446"/>
      <c r="D600" s="363">
        <v>2016</v>
      </c>
      <c r="E600" s="102">
        <f t="shared" si="17"/>
        <v>15500</v>
      </c>
      <c r="F600" s="107">
        <v>3000</v>
      </c>
      <c r="G600" s="107">
        <v>12000</v>
      </c>
      <c r="H600" s="107">
        <v>500</v>
      </c>
      <c r="I600" s="216"/>
      <c r="J600" s="434"/>
      <c r="K600" s="446"/>
      <c r="L600" s="55"/>
    </row>
    <row r="601" spans="1:12" s="28" customFormat="1" ht="15.75" customHeight="1">
      <c r="A601" s="449" t="s">
        <v>571</v>
      </c>
      <c r="B601" s="451"/>
      <c r="C601" s="446"/>
      <c r="D601" s="363">
        <v>2014</v>
      </c>
      <c r="E601" s="102">
        <f>G601+H601</f>
        <v>3150</v>
      </c>
      <c r="F601" s="107"/>
      <c r="G601" s="107">
        <v>3000</v>
      </c>
      <c r="H601" s="107">
        <v>150</v>
      </c>
      <c r="I601" s="236"/>
      <c r="J601" s="434"/>
      <c r="K601" s="446"/>
      <c r="L601" s="55"/>
    </row>
    <row r="602" spans="1:12" s="28" customFormat="1" ht="59.25" customHeight="1">
      <c r="A602" s="450"/>
      <c r="B602" s="451"/>
      <c r="C602" s="446"/>
      <c r="D602" s="363">
        <v>2015</v>
      </c>
      <c r="E602" s="102">
        <f t="shared" si="17"/>
        <v>2840</v>
      </c>
      <c r="F602" s="107">
        <v>0</v>
      </c>
      <c r="G602" s="107">
        <f>2000+740</f>
        <v>2740</v>
      </c>
      <c r="H602" s="107">
        <v>100</v>
      </c>
      <c r="I602" s="216"/>
      <c r="J602" s="434"/>
      <c r="K602" s="446"/>
      <c r="L602" s="55"/>
    </row>
    <row r="603" spans="1:12" s="28" customFormat="1" ht="15.75" customHeight="1" hidden="1">
      <c r="A603" s="193" t="s">
        <v>43</v>
      </c>
      <c r="B603" s="364"/>
      <c r="C603" s="353"/>
      <c r="D603" s="363">
        <v>2016</v>
      </c>
      <c r="E603" s="102">
        <f t="shared" si="17"/>
        <v>24000</v>
      </c>
      <c r="F603" s="107">
        <v>3000</v>
      </c>
      <c r="G603" s="107">
        <v>20000</v>
      </c>
      <c r="H603" s="107">
        <v>1000</v>
      </c>
      <c r="I603" s="216"/>
      <c r="J603" s="293"/>
      <c r="K603" s="353"/>
      <c r="L603" s="55"/>
    </row>
    <row r="604" spans="1:12" s="28" customFormat="1" ht="18" customHeight="1" hidden="1">
      <c r="A604" s="365" t="s">
        <v>47</v>
      </c>
      <c r="B604" s="364"/>
      <c r="C604" s="353"/>
      <c r="D604" s="363">
        <v>2015</v>
      </c>
      <c r="E604" s="102">
        <f t="shared" si="17"/>
        <v>0</v>
      </c>
      <c r="F604" s="107">
        <v>0</v>
      </c>
      <c r="G604" s="107">
        <v>0</v>
      </c>
      <c r="H604" s="107">
        <v>0</v>
      </c>
      <c r="I604" s="216"/>
      <c r="J604" s="293"/>
      <c r="K604" s="353"/>
      <c r="L604" s="55"/>
    </row>
    <row r="605" spans="1:12" s="28" customFormat="1" ht="16.5" customHeight="1" hidden="1">
      <c r="A605" s="190" t="s">
        <v>45</v>
      </c>
      <c r="B605" s="364"/>
      <c r="C605" s="353"/>
      <c r="D605" s="363">
        <v>2016</v>
      </c>
      <c r="E605" s="102">
        <f t="shared" si="17"/>
        <v>19750</v>
      </c>
      <c r="F605" s="107">
        <v>4000</v>
      </c>
      <c r="G605" s="107">
        <v>15000</v>
      </c>
      <c r="H605" s="107">
        <v>750</v>
      </c>
      <c r="I605" s="216"/>
      <c r="J605" s="293"/>
      <c r="K605" s="353"/>
      <c r="L605" s="55"/>
    </row>
    <row r="606" spans="1:12" s="28" customFormat="1" ht="16.5" customHeight="1" hidden="1">
      <c r="A606" s="193" t="s">
        <v>48</v>
      </c>
      <c r="B606" s="364"/>
      <c r="C606" s="353"/>
      <c r="D606" s="218">
        <v>2015</v>
      </c>
      <c r="E606" s="85">
        <f t="shared" si="17"/>
        <v>0</v>
      </c>
      <c r="F606" s="107"/>
      <c r="G606" s="107">
        <v>0</v>
      </c>
      <c r="H606" s="107">
        <v>0</v>
      </c>
      <c r="I606" s="273"/>
      <c r="J606" s="434"/>
      <c r="K606" s="446"/>
      <c r="L606" s="55"/>
    </row>
    <row r="607" spans="1:12" s="28" customFormat="1" ht="15" hidden="1">
      <c r="A607" s="190" t="s">
        <v>49</v>
      </c>
      <c r="B607" s="364"/>
      <c r="C607" s="353"/>
      <c r="D607" s="218">
        <v>2016</v>
      </c>
      <c r="E607" s="85">
        <f t="shared" si="17"/>
        <v>12600</v>
      </c>
      <c r="F607" s="107"/>
      <c r="G607" s="107">
        <v>12000</v>
      </c>
      <c r="H607" s="107">
        <v>600</v>
      </c>
      <c r="I607" s="275"/>
      <c r="J607" s="434"/>
      <c r="K607" s="446"/>
      <c r="L607" s="55"/>
    </row>
    <row r="608" spans="1:12" s="28" customFormat="1" ht="28.5" customHeight="1" hidden="1">
      <c r="A608" s="193" t="s">
        <v>262</v>
      </c>
      <c r="B608" s="438" t="s">
        <v>352</v>
      </c>
      <c r="C608" s="436" t="s">
        <v>420</v>
      </c>
      <c r="D608" s="218">
        <v>2015</v>
      </c>
      <c r="E608" s="85">
        <f t="shared" si="17"/>
        <v>0</v>
      </c>
      <c r="F608" s="107">
        <v>0</v>
      </c>
      <c r="G608" s="107">
        <v>0</v>
      </c>
      <c r="H608" s="107">
        <f>G608:G612*0.05</f>
        <v>0</v>
      </c>
      <c r="I608" s="281"/>
      <c r="J608" s="434"/>
      <c r="K608" s="446"/>
      <c r="L608" s="55"/>
    </row>
    <row r="609" spans="1:12" s="28" customFormat="1" ht="39" customHeight="1" hidden="1">
      <c r="A609" s="193" t="s">
        <v>46</v>
      </c>
      <c r="B609" s="439"/>
      <c r="C609" s="437"/>
      <c r="D609" s="218">
        <v>2016</v>
      </c>
      <c r="E609" s="85">
        <f>G609+H609</f>
        <v>24000</v>
      </c>
      <c r="F609" s="107"/>
      <c r="G609" s="107">
        <v>24000</v>
      </c>
      <c r="H609" s="107"/>
      <c r="I609" s="281"/>
      <c r="J609" s="435"/>
      <c r="K609" s="437"/>
      <c r="L609" s="55"/>
    </row>
    <row r="610" spans="1:12" s="33" customFormat="1" ht="39.75" customHeight="1">
      <c r="A610" s="365" t="s">
        <v>422</v>
      </c>
      <c r="B610" s="91" t="s">
        <v>242</v>
      </c>
      <c r="C610" s="436" t="s">
        <v>253</v>
      </c>
      <c r="D610" s="366"/>
      <c r="E610" s="97"/>
      <c r="F610" s="98"/>
      <c r="G610" s="367"/>
      <c r="H610" s="98"/>
      <c r="I610" s="92"/>
      <c r="J610" s="433" t="s">
        <v>260</v>
      </c>
      <c r="K610" s="436" t="s">
        <v>79</v>
      </c>
      <c r="L610" s="67"/>
    </row>
    <row r="611" spans="1:12" s="33" customFormat="1" ht="27.75" customHeight="1">
      <c r="A611" s="100" t="s">
        <v>244</v>
      </c>
      <c r="B611" s="451" t="s">
        <v>243</v>
      </c>
      <c r="C611" s="446"/>
      <c r="D611" s="233">
        <v>2014</v>
      </c>
      <c r="E611" s="102">
        <f>F611+G611+H611</f>
        <v>16377.7</v>
      </c>
      <c r="F611" s="103">
        <v>8400</v>
      </c>
      <c r="G611" s="275">
        <v>7227.7</v>
      </c>
      <c r="H611" s="222">
        <v>750</v>
      </c>
      <c r="I611" s="222"/>
      <c r="J611" s="434"/>
      <c r="K611" s="446"/>
      <c r="L611" s="67"/>
    </row>
    <row r="612" spans="1:12" s="33" customFormat="1" ht="29.25" customHeight="1">
      <c r="A612" s="449" t="s">
        <v>531</v>
      </c>
      <c r="B612" s="451"/>
      <c r="C612" s="446"/>
      <c r="D612" s="215">
        <v>2014</v>
      </c>
      <c r="E612" s="102">
        <f t="shared" si="17"/>
        <v>72535.8</v>
      </c>
      <c r="F612" s="103">
        <f>5513.1+8192.9</f>
        <v>13706</v>
      </c>
      <c r="G612" s="306">
        <f>45763-8192.9+0.3+8000+170-290.4+5170+1465.2+6121.3+173.3</f>
        <v>58379.8</v>
      </c>
      <c r="H612" s="103">
        <v>450</v>
      </c>
      <c r="I612" s="222"/>
      <c r="J612" s="434"/>
      <c r="K612" s="446"/>
      <c r="L612" s="67"/>
    </row>
    <row r="613" spans="1:12" s="33" customFormat="1" ht="45" customHeight="1">
      <c r="A613" s="452"/>
      <c r="B613" s="101"/>
      <c r="C613" s="437"/>
      <c r="D613" s="233">
        <v>2015</v>
      </c>
      <c r="E613" s="102">
        <f t="shared" si="17"/>
        <v>78078</v>
      </c>
      <c r="F613" s="107">
        <f>22540</f>
        <v>22540</v>
      </c>
      <c r="G613" s="266">
        <f>41000+39778-22540-2950</f>
        <v>55288</v>
      </c>
      <c r="H613" s="107">
        <v>250</v>
      </c>
      <c r="I613" s="266"/>
      <c r="J613" s="435"/>
      <c r="K613" s="437"/>
      <c r="L613" s="67"/>
    </row>
    <row r="614" spans="1:12" s="33" customFormat="1" ht="29.25" customHeight="1" hidden="1">
      <c r="A614" s="224"/>
      <c r="B614" s="354"/>
      <c r="C614" s="350"/>
      <c r="D614" s="279"/>
      <c r="E614" s="102">
        <f t="shared" si="17"/>
        <v>0</v>
      </c>
      <c r="F614" s="281"/>
      <c r="G614" s="281"/>
      <c r="H614" s="281"/>
      <c r="I614" s="281"/>
      <c r="J614" s="280"/>
      <c r="K614" s="188"/>
      <c r="L614" s="67"/>
    </row>
    <row r="615" spans="1:12" s="33" customFormat="1" ht="29.25" customHeight="1" hidden="1">
      <c r="A615" s="224"/>
      <c r="B615" s="354"/>
      <c r="C615" s="350"/>
      <c r="D615" s="279"/>
      <c r="E615" s="102">
        <f t="shared" si="17"/>
        <v>0</v>
      </c>
      <c r="F615" s="281"/>
      <c r="G615" s="281"/>
      <c r="H615" s="281"/>
      <c r="I615" s="281"/>
      <c r="J615" s="280"/>
      <c r="K615" s="188"/>
      <c r="L615" s="67"/>
    </row>
    <row r="616" spans="1:12" s="28" customFormat="1" ht="22.5" customHeight="1">
      <c r="A616" s="494" t="s">
        <v>577</v>
      </c>
      <c r="B616" s="438" t="s">
        <v>269</v>
      </c>
      <c r="C616" s="87" t="s">
        <v>253</v>
      </c>
      <c r="D616" s="239"/>
      <c r="E616" s="97"/>
      <c r="F616" s="241"/>
      <c r="G616" s="240"/>
      <c r="H616" s="237"/>
      <c r="I616" s="237"/>
      <c r="J616" s="368"/>
      <c r="K616" s="87" t="s">
        <v>80</v>
      </c>
      <c r="L616" s="55"/>
    </row>
    <row r="617" spans="1:12" s="28" customFormat="1" ht="20.25" customHeight="1">
      <c r="A617" s="495"/>
      <c r="B617" s="451"/>
      <c r="C617" s="357"/>
      <c r="D617" s="244"/>
      <c r="E617" s="177"/>
      <c r="F617" s="246"/>
      <c r="G617" s="245"/>
      <c r="H617" s="238"/>
      <c r="I617" s="238"/>
      <c r="J617" s="293"/>
      <c r="K617" s="208"/>
      <c r="L617" s="55"/>
    </row>
    <row r="618" spans="1:12" s="28" customFormat="1" ht="16.5" customHeight="1">
      <c r="A618" s="94" t="s">
        <v>244</v>
      </c>
      <c r="B618" s="364"/>
      <c r="C618" s="357"/>
      <c r="D618" s="242">
        <v>2014</v>
      </c>
      <c r="E618" s="102">
        <f t="shared" si="17"/>
        <v>2980</v>
      </c>
      <c r="F618" s="275">
        <v>0</v>
      </c>
      <c r="G618" s="103">
        <f>3000-170</f>
        <v>2830</v>
      </c>
      <c r="H618" s="222">
        <v>150</v>
      </c>
      <c r="I618" s="235"/>
      <c r="J618" s="293"/>
      <c r="K618" s="369"/>
      <c r="L618" s="55"/>
    </row>
    <row r="619" spans="1:12" s="28" customFormat="1" ht="18.75" customHeight="1">
      <c r="A619" s="94" t="s">
        <v>263</v>
      </c>
      <c r="B619" s="364"/>
      <c r="C619" s="197"/>
      <c r="D619" s="96">
        <v>2015</v>
      </c>
      <c r="E619" s="102">
        <f t="shared" si="17"/>
        <v>10500</v>
      </c>
      <c r="F619" s="98"/>
      <c r="G619" s="98">
        <v>10000</v>
      </c>
      <c r="H619" s="92">
        <v>500</v>
      </c>
      <c r="I619" s="237"/>
      <c r="J619" s="293"/>
      <c r="K619" s="369"/>
      <c r="L619" s="55"/>
    </row>
    <row r="620" spans="1:12" s="28" customFormat="1" ht="18" customHeight="1">
      <c r="A620" s="94" t="s">
        <v>264</v>
      </c>
      <c r="B620" s="364"/>
      <c r="C620" s="225"/>
      <c r="D620" s="239"/>
      <c r="E620" s="177"/>
      <c r="F620" s="98"/>
      <c r="G620" s="98"/>
      <c r="H620" s="92"/>
      <c r="I620" s="237"/>
      <c r="J620" s="293"/>
      <c r="K620" s="370"/>
      <c r="L620" s="55"/>
    </row>
    <row r="621" spans="1:12" s="28" customFormat="1" ht="30" customHeight="1">
      <c r="A621" s="100" t="s">
        <v>265</v>
      </c>
      <c r="B621" s="300"/>
      <c r="C621" s="223"/>
      <c r="D621" s="242"/>
      <c r="E621" s="102"/>
      <c r="F621" s="243"/>
      <c r="G621" s="234"/>
      <c r="H621" s="243"/>
      <c r="I621" s="235"/>
      <c r="J621" s="296"/>
      <c r="K621" s="371"/>
      <c r="L621" s="55"/>
    </row>
    <row r="622" spans="1:12" s="28" customFormat="1" ht="28.5" customHeight="1">
      <c r="A622" s="90" t="s">
        <v>201</v>
      </c>
      <c r="B622" s="438" t="s">
        <v>348</v>
      </c>
      <c r="C622" s="87" t="s">
        <v>253</v>
      </c>
      <c r="D622" s="239"/>
      <c r="E622" s="97"/>
      <c r="F622" s="273"/>
      <c r="G622" s="98"/>
      <c r="H622" s="273"/>
      <c r="I622" s="477"/>
      <c r="J622" s="93" t="s">
        <v>260</v>
      </c>
      <c r="K622" s="436" t="s">
        <v>80</v>
      </c>
      <c r="L622" s="55"/>
    </row>
    <row r="623" spans="1:12" s="28" customFormat="1" ht="15.75" customHeight="1">
      <c r="A623" s="224" t="s">
        <v>249</v>
      </c>
      <c r="B623" s="451"/>
      <c r="C623" s="225"/>
      <c r="D623" s="244">
        <v>2015</v>
      </c>
      <c r="E623" s="177">
        <f>G623+H623</f>
        <v>60239</v>
      </c>
      <c r="F623" s="246"/>
      <c r="G623" s="245">
        <v>57514.6</v>
      </c>
      <c r="H623" s="246">
        <v>2724.4</v>
      </c>
      <c r="I623" s="513"/>
      <c r="J623" s="99"/>
      <c r="K623" s="487"/>
      <c r="L623" s="55"/>
    </row>
    <row r="624" spans="1:12" s="28" customFormat="1" ht="36.75" customHeight="1">
      <c r="A624" s="224" t="s">
        <v>250</v>
      </c>
      <c r="B624" s="439"/>
      <c r="C624" s="225"/>
      <c r="D624" s="244"/>
      <c r="E624" s="177"/>
      <c r="F624" s="246"/>
      <c r="G624" s="245"/>
      <c r="H624" s="246"/>
      <c r="I624" s="513"/>
      <c r="J624" s="104"/>
      <c r="K624" s="510"/>
      <c r="L624" s="55"/>
    </row>
    <row r="625" spans="1:12" s="28" customFormat="1" ht="15.75" customHeight="1" hidden="1">
      <c r="A625" s="136"/>
      <c r="B625" s="372"/>
      <c r="C625" s="225"/>
      <c r="D625" s="244"/>
      <c r="E625" s="102"/>
      <c r="F625" s="246"/>
      <c r="G625" s="245"/>
      <c r="H625" s="246"/>
      <c r="I625" s="478"/>
      <c r="J625" s="104"/>
      <c r="K625" s="510"/>
      <c r="L625" s="55"/>
    </row>
    <row r="626" spans="1:12" s="33" customFormat="1" ht="16.5" customHeight="1">
      <c r="A626" s="373" t="s">
        <v>50</v>
      </c>
      <c r="B626" s="91"/>
      <c r="C626" s="219"/>
      <c r="D626" s="252">
        <v>2014</v>
      </c>
      <c r="E626" s="85">
        <f>E590+E611+E612+E618+E601+E622</f>
        <v>98241.20000000001</v>
      </c>
      <c r="F626" s="85">
        <f>F590+F611+F612+F618+F601+F622</f>
        <v>22106</v>
      </c>
      <c r="G626" s="85">
        <f>G590+G611+G612+G618+G601+G622</f>
        <v>74465.2</v>
      </c>
      <c r="H626" s="85">
        <f>H590+H611+H612+H618+H601+H622</f>
        <v>1670</v>
      </c>
      <c r="I626" s="85"/>
      <c r="J626" s="84" t="s">
        <v>260</v>
      </c>
      <c r="K626" s="374"/>
      <c r="L626" s="67"/>
    </row>
    <row r="627" spans="1:12" s="33" customFormat="1" ht="15" customHeight="1">
      <c r="A627" s="330"/>
      <c r="B627" s="95"/>
      <c r="C627" s="375"/>
      <c r="D627" s="252">
        <v>2015</v>
      </c>
      <c r="E627" s="85">
        <f>E619+E606+E604+E602+E598+E591+E613+E595+E623+E608</f>
        <v>191783.8</v>
      </c>
      <c r="F627" s="85">
        <f>F619+F606+F604+F602+F598+F591+F613+F597+F623+F608</f>
        <v>27540</v>
      </c>
      <c r="G627" s="85">
        <f>G619+G606+G604+G602+G598+G591+G613+G595+G623+G608</f>
        <v>159324.5</v>
      </c>
      <c r="H627" s="85">
        <f>H619+H606+H604+H602+H598+H591+H613+H595+H623+H608</f>
        <v>4919.3</v>
      </c>
      <c r="I627" s="85"/>
      <c r="J627" s="84" t="s">
        <v>74</v>
      </c>
      <c r="K627" s="178"/>
      <c r="L627" s="67"/>
    </row>
    <row r="628" spans="1:13" s="33" customFormat="1" ht="15" customHeight="1" thickBot="1">
      <c r="A628" s="376"/>
      <c r="B628" s="255"/>
      <c r="C628" s="377"/>
      <c r="D628" s="378">
        <v>2016</v>
      </c>
      <c r="E628" s="205">
        <f>F628+G628+H628</f>
        <v>144413</v>
      </c>
      <c r="F628" s="205">
        <f>F620+F605+F603+F600+F592+F609+F607</f>
        <v>21900</v>
      </c>
      <c r="G628" s="205">
        <f>117863</f>
        <v>117863</v>
      </c>
      <c r="H628" s="205">
        <f>H620+H605+H603+H600+H592+H609+H607</f>
        <v>4650</v>
      </c>
      <c r="I628" s="205"/>
      <c r="J628" s="379" t="s">
        <v>124</v>
      </c>
      <c r="K628" s="380"/>
      <c r="L628" s="67"/>
      <c r="M628" s="73"/>
    </row>
    <row r="629" spans="1:11" ht="14.25" customHeight="1" thickTop="1">
      <c r="A629" s="502" t="s">
        <v>423</v>
      </c>
      <c r="B629" s="511" t="s">
        <v>352</v>
      </c>
      <c r="C629" s="489" t="s">
        <v>424</v>
      </c>
      <c r="D629" s="381">
        <v>2014</v>
      </c>
      <c r="E629" s="382">
        <f>G629</f>
        <v>2400</v>
      </c>
      <c r="F629" s="382"/>
      <c r="G629" s="382">
        <f>10000-7600</f>
        <v>2400</v>
      </c>
      <c r="H629" s="382"/>
      <c r="I629" s="383"/>
      <c r="J629" s="384"/>
      <c r="K629" s="489" t="s">
        <v>80</v>
      </c>
    </row>
    <row r="630" spans="1:11" ht="49.5" customHeight="1">
      <c r="A630" s="503"/>
      <c r="B630" s="451"/>
      <c r="C630" s="446"/>
      <c r="D630" s="211">
        <v>2015</v>
      </c>
      <c r="E630" s="217">
        <v>26730</v>
      </c>
      <c r="F630" s="217"/>
      <c r="G630" s="217">
        <v>26730</v>
      </c>
      <c r="H630" s="217"/>
      <c r="I630" s="236"/>
      <c r="J630" s="99"/>
      <c r="K630" s="446"/>
    </row>
    <row r="631" spans="1:11" ht="35.25" customHeight="1" hidden="1" thickBot="1">
      <c r="A631" s="504"/>
      <c r="B631" s="512"/>
      <c r="C631" s="488"/>
      <c r="D631" s="207">
        <v>2016</v>
      </c>
      <c r="E631" s="253">
        <f>G631</f>
        <v>41142</v>
      </c>
      <c r="F631" s="253"/>
      <c r="G631" s="253">
        <v>41142</v>
      </c>
      <c r="H631" s="253"/>
      <c r="I631" s="385"/>
      <c r="J631" s="80"/>
      <c r="K631" s="490"/>
    </row>
    <row r="632" spans="1:11" ht="15" customHeight="1" hidden="1" thickTop="1">
      <c r="A632" s="495" t="s">
        <v>251</v>
      </c>
      <c r="B632" s="451" t="s">
        <v>294</v>
      </c>
      <c r="C632" s="501" t="s">
        <v>253</v>
      </c>
      <c r="D632" s="277">
        <v>2015</v>
      </c>
      <c r="E632" s="102">
        <f>G632+H632</f>
        <v>0</v>
      </c>
      <c r="F632" s="275"/>
      <c r="G632" s="103">
        <v>0</v>
      </c>
      <c r="H632" s="275">
        <v>0</v>
      </c>
      <c r="I632" s="196"/>
      <c r="J632" s="99"/>
      <c r="K632" s="446" t="s">
        <v>80</v>
      </c>
    </row>
    <row r="633" spans="1:11" ht="27" customHeight="1" hidden="1" thickBot="1">
      <c r="A633" s="500"/>
      <c r="B633" s="512"/>
      <c r="C633" s="515"/>
      <c r="D633" s="386">
        <v>2016</v>
      </c>
      <c r="E633" s="343">
        <f>G633+H633</f>
        <v>0</v>
      </c>
      <c r="F633" s="336"/>
      <c r="G633" s="258">
        <v>0</v>
      </c>
      <c r="H633" s="336">
        <v>0</v>
      </c>
      <c r="I633" s="258"/>
      <c r="J633" s="80"/>
      <c r="K633" s="437"/>
    </row>
    <row r="634" spans="1:11" ht="84.75" customHeight="1" thickBot="1">
      <c r="A634" s="387" t="s">
        <v>427</v>
      </c>
      <c r="B634" s="105" t="s">
        <v>428</v>
      </c>
      <c r="C634" s="106" t="s">
        <v>254</v>
      </c>
      <c r="D634" s="388">
        <v>2015</v>
      </c>
      <c r="E634" s="205">
        <f>F634+G634+H634+I634</f>
        <v>13448.8</v>
      </c>
      <c r="F634" s="389"/>
      <c r="G634" s="232">
        <v>13448.8</v>
      </c>
      <c r="H634" s="389"/>
      <c r="I634" s="232"/>
      <c r="J634" s="254"/>
      <c r="K634" s="78" t="s">
        <v>78</v>
      </c>
    </row>
    <row r="635" spans="1:11" ht="28.5" customHeight="1" thickTop="1">
      <c r="A635" s="639" t="s">
        <v>578</v>
      </c>
      <c r="B635" s="511" t="s">
        <v>417</v>
      </c>
      <c r="C635" s="489" t="s">
        <v>409</v>
      </c>
      <c r="D635" s="252">
        <v>2014</v>
      </c>
      <c r="E635" s="107">
        <f>SUM(G635+I635)</f>
        <v>250000</v>
      </c>
      <c r="F635" s="107"/>
      <c r="G635" s="107">
        <f>80000+120000+10000</f>
        <v>210000</v>
      </c>
      <c r="H635" s="107"/>
      <c r="I635" s="107">
        <f>16000+24000</f>
        <v>40000</v>
      </c>
      <c r="J635" s="249" t="s">
        <v>233</v>
      </c>
      <c r="K635" s="641" t="s">
        <v>86</v>
      </c>
    </row>
    <row r="636" spans="1:11" ht="27.75" customHeight="1">
      <c r="A636" s="564"/>
      <c r="B636" s="451"/>
      <c r="C636" s="446"/>
      <c r="D636" s="252">
        <v>2015</v>
      </c>
      <c r="E636" s="107">
        <f>SUM(G636+I636)</f>
        <v>264800</v>
      </c>
      <c r="F636" s="107"/>
      <c r="G636" s="107">
        <v>200000</v>
      </c>
      <c r="H636" s="107"/>
      <c r="I636" s="107">
        <v>64800</v>
      </c>
      <c r="J636" s="249" t="s">
        <v>527</v>
      </c>
      <c r="K636" s="642"/>
    </row>
    <row r="637" spans="1:11" ht="25.5" customHeight="1">
      <c r="A637" s="564"/>
      <c r="B637" s="451"/>
      <c r="C637" s="446"/>
      <c r="D637" s="304">
        <v>2016</v>
      </c>
      <c r="E637" s="103">
        <f>SUM(G637+I637)</f>
        <v>164266</v>
      </c>
      <c r="F637" s="107"/>
      <c r="G637" s="103">
        <v>129866</v>
      </c>
      <c r="H637" s="103"/>
      <c r="I637" s="103">
        <v>34400</v>
      </c>
      <c r="J637" s="249" t="s">
        <v>345</v>
      </c>
      <c r="K637" s="642"/>
    </row>
    <row r="638" spans="1:11" ht="31.5" customHeight="1">
      <c r="A638" s="564"/>
      <c r="B638" s="451"/>
      <c r="C638" s="446"/>
      <c r="D638" s="252">
        <v>2017</v>
      </c>
      <c r="E638" s="107">
        <f>G638+I638</f>
        <v>155989</v>
      </c>
      <c r="F638" s="107"/>
      <c r="G638" s="107">
        <v>125589</v>
      </c>
      <c r="H638" s="107"/>
      <c r="I638" s="107">
        <v>30400</v>
      </c>
      <c r="J638" s="214" t="s">
        <v>346</v>
      </c>
      <c r="K638" s="642"/>
    </row>
    <row r="639" spans="1:11" ht="31.5" customHeight="1" hidden="1" thickBot="1" thickTop="1">
      <c r="A639" s="564"/>
      <c r="B639" s="451"/>
      <c r="C639" s="446"/>
      <c r="D639" s="342"/>
      <c r="E639" s="390"/>
      <c r="F639" s="390"/>
      <c r="G639" s="390"/>
      <c r="H639" s="390"/>
      <c r="I639" s="390"/>
      <c r="J639" s="80"/>
      <c r="K639" s="642"/>
    </row>
    <row r="640" spans="1:11" ht="31.5" customHeight="1" thickBot="1">
      <c r="A640" s="640"/>
      <c r="B640" s="512"/>
      <c r="C640" s="490"/>
      <c r="D640" s="342">
        <v>2018</v>
      </c>
      <c r="E640" s="390">
        <f>G640+I640</f>
        <v>155989</v>
      </c>
      <c r="F640" s="390"/>
      <c r="G640" s="390">
        <v>125589</v>
      </c>
      <c r="H640" s="390"/>
      <c r="I640" s="390">
        <v>30400</v>
      </c>
      <c r="J640" s="80" t="s">
        <v>527</v>
      </c>
      <c r="K640" s="643"/>
    </row>
    <row r="641" spans="1:11" ht="25.5" customHeight="1" thickTop="1">
      <c r="A641" s="505" t="s">
        <v>508</v>
      </c>
      <c r="B641" s="506"/>
      <c r="C641" s="506"/>
      <c r="D641" s="506"/>
      <c r="E641" s="506"/>
      <c r="F641" s="506"/>
      <c r="G641" s="506"/>
      <c r="H641" s="506"/>
      <c r="I641" s="506"/>
      <c r="J641" s="506"/>
      <c r="K641" s="507"/>
    </row>
    <row r="642" spans="1:11" ht="80.25" customHeight="1">
      <c r="A642" s="391" t="s">
        <v>104</v>
      </c>
      <c r="B642" s="346" t="s">
        <v>361</v>
      </c>
      <c r="C642" s="88" t="s">
        <v>253</v>
      </c>
      <c r="D642" s="233">
        <v>2014</v>
      </c>
      <c r="E642" s="234">
        <f>F642+G642</f>
        <v>2142.9</v>
      </c>
      <c r="F642" s="234">
        <v>642.9</v>
      </c>
      <c r="G642" s="234">
        <v>1500</v>
      </c>
      <c r="H642" s="234">
        <v>100</v>
      </c>
      <c r="I642" s="234"/>
      <c r="J642" s="104" t="s">
        <v>234</v>
      </c>
      <c r="K642" s="191" t="s">
        <v>87</v>
      </c>
    </row>
    <row r="643" spans="1:11" ht="25.5" customHeight="1">
      <c r="A643" s="498" t="s">
        <v>92</v>
      </c>
      <c r="B643" s="438" t="s">
        <v>365</v>
      </c>
      <c r="C643" s="436" t="s">
        <v>253</v>
      </c>
      <c r="D643" s="465">
        <v>2014</v>
      </c>
      <c r="E643" s="477">
        <f>F643+G643+H643</f>
        <v>1650</v>
      </c>
      <c r="F643" s="477"/>
      <c r="G643" s="477">
        <v>1500</v>
      </c>
      <c r="H643" s="477">
        <v>150</v>
      </c>
      <c r="I643" s="477"/>
      <c r="J643" s="433" t="s">
        <v>234</v>
      </c>
      <c r="K643" s="436" t="s">
        <v>87</v>
      </c>
    </row>
    <row r="644" spans="1:11" ht="51" customHeight="1">
      <c r="A644" s="499"/>
      <c r="B644" s="439"/>
      <c r="C644" s="437"/>
      <c r="D644" s="466"/>
      <c r="E644" s="478"/>
      <c r="F644" s="478"/>
      <c r="G644" s="478"/>
      <c r="H644" s="478"/>
      <c r="I644" s="478"/>
      <c r="J644" s="435"/>
      <c r="K644" s="437"/>
    </row>
    <row r="645" spans="1:11" ht="84.75" customHeight="1">
      <c r="A645" s="392" t="s">
        <v>411</v>
      </c>
      <c r="B645" s="194" t="s">
        <v>365</v>
      </c>
      <c r="C645" s="199" t="s">
        <v>253</v>
      </c>
      <c r="D645" s="215">
        <v>2015</v>
      </c>
      <c r="E645" s="217">
        <f>F645+G645+H645+I645</f>
        <v>2340</v>
      </c>
      <c r="F645" s="217">
        <v>982.8</v>
      </c>
      <c r="G645" s="217">
        <v>421.2</v>
      </c>
      <c r="H645" s="217">
        <v>300</v>
      </c>
      <c r="I645" s="217">
        <v>636</v>
      </c>
      <c r="J645" s="214" t="s">
        <v>234</v>
      </c>
      <c r="K645" s="87" t="s">
        <v>87</v>
      </c>
    </row>
    <row r="646" spans="1:11" ht="77.25" customHeight="1" thickBot="1">
      <c r="A646" s="393" t="s">
        <v>412</v>
      </c>
      <c r="B646" s="255" t="s">
        <v>413</v>
      </c>
      <c r="C646" s="89" t="s">
        <v>253</v>
      </c>
      <c r="D646" s="328">
        <v>2015</v>
      </c>
      <c r="E646" s="245">
        <f>F646+G646:G653+H646:H653+I646:I653</f>
        <v>2203</v>
      </c>
      <c r="F646" s="245">
        <v>925.2</v>
      </c>
      <c r="G646" s="245">
        <v>396.6</v>
      </c>
      <c r="H646" s="245">
        <v>379.8</v>
      </c>
      <c r="I646" s="245">
        <v>501.4</v>
      </c>
      <c r="J646" s="82" t="s">
        <v>234</v>
      </c>
      <c r="K646" s="394" t="s">
        <v>87</v>
      </c>
    </row>
    <row r="647" spans="1:12" ht="14.25" customHeight="1" thickTop="1">
      <c r="A647" s="644" t="s">
        <v>235</v>
      </c>
      <c r="B647" s="511"/>
      <c r="C647" s="486"/>
      <c r="D647" s="395">
        <v>2014</v>
      </c>
      <c r="E647" s="382">
        <f aca="true" t="shared" si="18" ref="E647:E652">SUM(F647:I647)</f>
        <v>3892.9</v>
      </c>
      <c r="F647" s="382">
        <f>F642+F643</f>
        <v>642.9</v>
      </c>
      <c r="G647" s="382">
        <f>G642+G643</f>
        <v>3000</v>
      </c>
      <c r="H647" s="382">
        <f>H642+H643</f>
        <v>250</v>
      </c>
      <c r="I647" s="382">
        <f>I642+I643</f>
        <v>0</v>
      </c>
      <c r="J647" s="104" t="s">
        <v>75</v>
      </c>
      <c r="K647" s="489" t="s">
        <v>87</v>
      </c>
      <c r="L647" s="49"/>
    </row>
    <row r="648" spans="1:11" ht="15">
      <c r="A648" s="463"/>
      <c r="B648" s="451"/>
      <c r="C648" s="487"/>
      <c r="D648" s="396">
        <v>2015</v>
      </c>
      <c r="E648" s="217">
        <f t="shared" si="18"/>
        <v>4543</v>
      </c>
      <c r="F648" s="217">
        <f>F645+F646</f>
        <v>1908</v>
      </c>
      <c r="G648" s="217">
        <v>817.8</v>
      </c>
      <c r="H648" s="217">
        <f>H645+H646</f>
        <v>679.8</v>
      </c>
      <c r="I648" s="217">
        <f>I645+I646</f>
        <v>1137.4</v>
      </c>
      <c r="J648" s="214" t="s">
        <v>75</v>
      </c>
      <c r="K648" s="446"/>
    </row>
    <row r="649" spans="1:11" ht="19.5" customHeight="1">
      <c r="A649" s="463"/>
      <c r="B649" s="451"/>
      <c r="C649" s="487"/>
      <c r="D649" s="396">
        <v>2016</v>
      </c>
      <c r="E649" s="217">
        <f t="shared" si="18"/>
        <v>6000</v>
      </c>
      <c r="F649" s="217">
        <v>3000</v>
      </c>
      <c r="G649" s="217">
        <v>3000</v>
      </c>
      <c r="H649" s="217">
        <v>0</v>
      </c>
      <c r="I649" s="217">
        <v>0</v>
      </c>
      <c r="J649" s="214" t="s">
        <v>245</v>
      </c>
      <c r="K649" s="446"/>
    </row>
    <row r="650" spans="1:11" ht="14.25" customHeight="1" hidden="1">
      <c r="A650" s="463"/>
      <c r="B650" s="451"/>
      <c r="C650" s="487"/>
      <c r="D650" s="397">
        <v>2014</v>
      </c>
      <c r="E650" s="217">
        <f t="shared" si="18"/>
        <v>2203</v>
      </c>
      <c r="F650" s="217">
        <v>925.2</v>
      </c>
      <c r="G650" s="217">
        <v>396.6</v>
      </c>
      <c r="H650" s="217">
        <v>379.8</v>
      </c>
      <c r="I650" s="217">
        <v>501.4</v>
      </c>
      <c r="J650" s="214" t="s">
        <v>76</v>
      </c>
      <c r="K650" s="446"/>
    </row>
    <row r="651" spans="1:11" ht="12.75" customHeight="1" hidden="1">
      <c r="A651" s="463"/>
      <c r="B651" s="451"/>
      <c r="C651" s="487"/>
      <c r="D651" s="396">
        <v>2015</v>
      </c>
      <c r="E651" s="217">
        <f t="shared" si="18"/>
        <v>2203</v>
      </c>
      <c r="F651" s="217">
        <v>925.2</v>
      </c>
      <c r="G651" s="217">
        <v>396.6</v>
      </c>
      <c r="H651" s="217">
        <v>379.8</v>
      </c>
      <c r="I651" s="217">
        <v>501.4</v>
      </c>
      <c r="J651" s="214" t="s">
        <v>76</v>
      </c>
      <c r="K651" s="446"/>
    </row>
    <row r="652" spans="1:11" ht="42.75" customHeight="1" hidden="1" thickBot="1">
      <c r="A652" s="463"/>
      <c r="B652" s="451"/>
      <c r="C652" s="487"/>
      <c r="D652" s="398">
        <v>2016</v>
      </c>
      <c r="E652" s="240">
        <f t="shared" si="18"/>
        <v>2203</v>
      </c>
      <c r="F652" s="240">
        <v>925.2</v>
      </c>
      <c r="G652" s="240">
        <v>396.6</v>
      </c>
      <c r="H652" s="240">
        <v>379.8</v>
      </c>
      <c r="I652" s="240">
        <v>501.4</v>
      </c>
      <c r="J652" s="214" t="s">
        <v>76</v>
      </c>
      <c r="K652" s="446"/>
    </row>
    <row r="653" spans="1:11" ht="22.5" customHeight="1">
      <c r="A653" s="463"/>
      <c r="B653" s="451"/>
      <c r="C653" s="487"/>
      <c r="D653" s="396">
        <v>2017</v>
      </c>
      <c r="E653" s="217">
        <f>F653+G653</f>
        <v>6404</v>
      </c>
      <c r="F653" s="217">
        <v>3202</v>
      </c>
      <c r="G653" s="217">
        <v>3202</v>
      </c>
      <c r="H653" s="217">
        <v>0</v>
      </c>
      <c r="I653" s="217">
        <v>0</v>
      </c>
      <c r="J653" s="214" t="s">
        <v>245</v>
      </c>
      <c r="K653" s="446"/>
    </row>
    <row r="654" spans="1:11" ht="22.5" customHeight="1" thickBot="1">
      <c r="A654" s="571"/>
      <c r="B654" s="512"/>
      <c r="C654" s="488"/>
      <c r="D654" s="399">
        <v>2018</v>
      </c>
      <c r="E654" s="253">
        <f>F654+G654+H654+I654</f>
        <v>6404</v>
      </c>
      <c r="F654" s="253">
        <v>3202</v>
      </c>
      <c r="G654" s="253">
        <v>3202</v>
      </c>
      <c r="H654" s="253">
        <v>0</v>
      </c>
      <c r="I654" s="253">
        <v>0</v>
      </c>
      <c r="J654" s="82" t="s">
        <v>76</v>
      </c>
      <c r="K654" s="490"/>
    </row>
    <row r="655" spans="1:11" ht="30" customHeight="1" thickTop="1">
      <c r="A655" s="491" t="s">
        <v>579</v>
      </c>
      <c r="B655" s="492"/>
      <c r="C655" s="492"/>
      <c r="D655" s="492"/>
      <c r="E655" s="492"/>
      <c r="F655" s="492"/>
      <c r="G655" s="492"/>
      <c r="H655" s="492"/>
      <c r="I655" s="492"/>
      <c r="J655" s="492"/>
      <c r="K655" s="493"/>
    </row>
    <row r="656" spans="1:12" ht="86.25" customHeight="1" hidden="1">
      <c r="A656" s="400" t="s">
        <v>397</v>
      </c>
      <c r="B656" s="401" t="s">
        <v>125</v>
      </c>
      <c r="C656" s="402" t="s">
        <v>253</v>
      </c>
      <c r="D656" s="84">
        <v>2016</v>
      </c>
      <c r="E656" s="214">
        <f>F656+G656+H656+I656</f>
        <v>21443.5</v>
      </c>
      <c r="F656" s="99">
        <v>5083.6</v>
      </c>
      <c r="G656" s="99">
        <v>15053</v>
      </c>
      <c r="H656" s="214">
        <v>1306.9</v>
      </c>
      <c r="I656" s="99"/>
      <c r="J656" s="403" t="s">
        <v>112</v>
      </c>
      <c r="K656" s="188" t="s">
        <v>128</v>
      </c>
      <c r="L656" s="69"/>
    </row>
    <row r="657" spans="1:12" ht="55.5" customHeight="1" hidden="1">
      <c r="A657" s="404" t="s">
        <v>105</v>
      </c>
      <c r="B657" s="405" t="s">
        <v>125</v>
      </c>
      <c r="C657" s="406" t="s">
        <v>253</v>
      </c>
      <c r="D657" s="274">
        <v>2016</v>
      </c>
      <c r="E657" s="214">
        <f>F657+G657+H657+I657</f>
        <v>18166.5</v>
      </c>
      <c r="F657" s="214">
        <v>4173.5</v>
      </c>
      <c r="G657" s="214">
        <v>13567</v>
      </c>
      <c r="H657" s="99">
        <v>426</v>
      </c>
      <c r="I657" s="214"/>
      <c r="J657" s="407" t="s">
        <v>115</v>
      </c>
      <c r="K657" s="199" t="s">
        <v>129</v>
      </c>
      <c r="L657" s="69"/>
    </row>
    <row r="658" spans="1:12" ht="83.25" customHeight="1">
      <c r="A658" s="404" t="s">
        <v>496</v>
      </c>
      <c r="B658" s="405" t="s">
        <v>125</v>
      </c>
      <c r="C658" s="408" t="s">
        <v>253</v>
      </c>
      <c r="D658" s="84">
        <v>2015</v>
      </c>
      <c r="E658" s="214">
        <f>F658+G658+H658+I658</f>
        <v>17483.79</v>
      </c>
      <c r="F658" s="214">
        <v>2970.64</v>
      </c>
      <c r="G658" s="214">
        <f>14513.15-1013.15</f>
        <v>13500</v>
      </c>
      <c r="H658" s="214">
        <v>1013.15</v>
      </c>
      <c r="I658" s="214"/>
      <c r="J658" s="403" t="s">
        <v>396</v>
      </c>
      <c r="K658" s="409" t="s">
        <v>128</v>
      </c>
      <c r="L658" s="69"/>
    </row>
    <row r="659" spans="1:12" ht="37.5" customHeight="1">
      <c r="A659" s="472" t="s">
        <v>497</v>
      </c>
      <c r="B659" s="474" t="s">
        <v>126</v>
      </c>
      <c r="C659" s="484" t="s">
        <v>253</v>
      </c>
      <c r="D659" s="440">
        <v>2015</v>
      </c>
      <c r="E659" s="433">
        <f aca="true" t="shared" si="19" ref="E659:E665">F659+G659+H659+I659</f>
        <v>120500.49600000001</v>
      </c>
      <c r="F659" s="433">
        <v>17238.08</v>
      </c>
      <c r="G659" s="433">
        <f>103262.41-6627.794</f>
        <v>96634.61600000001</v>
      </c>
      <c r="H659" s="433">
        <v>6627.8</v>
      </c>
      <c r="I659" s="433"/>
      <c r="J659" s="518" t="s">
        <v>111</v>
      </c>
      <c r="K659" s="436" t="s">
        <v>129</v>
      </c>
      <c r="L659" s="69"/>
    </row>
    <row r="660" spans="1:12" ht="17.25" customHeight="1">
      <c r="A660" s="473"/>
      <c r="B660" s="475"/>
      <c r="C660" s="485"/>
      <c r="D660" s="471"/>
      <c r="E660" s="435"/>
      <c r="F660" s="435"/>
      <c r="G660" s="435"/>
      <c r="H660" s="435"/>
      <c r="I660" s="435"/>
      <c r="J660" s="519"/>
      <c r="K660" s="437"/>
      <c r="L660" s="69"/>
    </row>
    <row r="661" spans="1:12" ht="57.75" customHeight="1" hidden="1">
      <c r="A661" s="410" t="s">
        <v>106</v>
      </c>
      <c r="B661" s="405" t="s">
        <v>125</v>
      </c>
      <c r="C661" s="411" t="s">
        <v>253</v>
      </c>
      <c r="D661" s="84">
        <v>2016</v>
      </c>
      <c r="E661" s="214">
        <f t="shared" si="19"/>
        <v>21125.6</v>
      </c>
      <c r="F661" s="214">
        <v>11108.5</v>
      </c>
      <c r="G661" s="214">
        <v>9257.1</v>
      </c>
      <c r="H661" s="214">
        <v>760</v>
      </c>
      <c r="I661" s="214"/>
      <c r="J661" s="412" t="s">
        <v>113</v>
      </c>
      <c r="K661" s="191" t="s">
        <v>129</v>
      </c>
      <c r="L661" s="69"/>
    </row>
    <row r="662" spans="1:12" ht="84.75" customHeight="1">
      <c r="A662" s="472" t="s">
        <v>498</v>
      </c>
      <c r="B662" s="474" t="s">
        <v>107</v>
      </c>
      <c r="C662" s="484" t="s">
        <v>253</v>
      </c>
      <c r="D662" s="440">
        <v>2015</v>
      </c>
      <c r="E662" s="433">
        <f t="shared" si="19"/>
        <v>42985.8</v>
      </c>
      <c r="F662" s="433">
        <v>11443.24</v>
      </c>
      <c r="G662" s="433">
        <f>31542.56-350</f>
        <v>31192.56</v>
      </c>
      <c r="H662" s="433">
        <v>350</v>
      </c>
      <c r="I662" s="433"/>
      <c r="J662" s="518" t="s">
        <v>114</v>
      </c>
      <c r="K662" s="436" t="s">
        <v>129</v>
      </c>
      <c r="L662" s="69"/>
    </row>
    <row r="663" spans="1:12" ht="15">
      <c r="A663" s="473"/>
      <c r="B663" s="475"/>
      <c r="C663" s="485"/>
      <c r="D663" s="471"/>
      <c r="E663" s="435"/>
      <c r="F663" s="435"/>
      <c r="G663" s="435"/>
      <c r="H663" s="435"/>
      <c r="I663" s="435"/>
      <c r="J663" s="519"/>
      <c r="K663" s="437"/>
      <c r="L663" s="69"/>
    </row>
    <row r="664" spans="1:12" ht="76.5" hidden="1">
      <c r="A664" s="410" t="s">
        <v>425</v>
      </c>
      <c r="B664" s="401" t="s">
        <v>311</v>
      </c>
      <c r="C664" s="411" t="s">
        <v>253</v>
      </c>
      <c r="D664" s="84">
        <v>2016</v>
      </c>
      <c r="E664" s="214">
        <f t="shared" si="19"/>
        <v>39653.4</v>
      </c>
      <c r="F664" s="214">
        <v>15690</v>
      </c>
      <c r="G664" s="214">
        <v>22260.8</v>
      </c>
      <c r="H664" s="214">
        <v>1702.6</v>
      </c>
      <c r="I664" s="214"/>
      <c r="J664" s="412" t="s">
        <v>399</v>
      </c>
      <c r="K664" s="191" t="s">
        <v>129</v>
      </c>
      <c r="L664" s="69"/>
    </row>
    <row r="665" spans="1:12" ht="67.5" customHeight="1">
      <c r="A665" s="410" t="s">
        <v>499</v>
      </c>
      <c r="B665" s="405" t="s">
        <v>127</v>
      </c>
      <c r="C665" s="411" t="s">
        <v>253</v>
      </c>
      <c r="D665" s="84">
        <v>2015</v>
      </c>
      <c r="E665" s="214">
        <f t="shared" si="19"/>
        <v>53918.78</v>
      </c>
      <c r="F665" s="214">
        <v>16736</v>
      </c>
      <c r="G665" s="214">
        <f>37182.78-1389.6</f>
        <v>35793.18</v>
      </c>
      <c r="H665" s="214">
        <v>1389.6</v>
      </c>
      <c r="I665" s="214"/>
      <c r="J665" s="412" t="s">
        <v>283</v>
      </c>
      <c r="K665" s="191" t="s">
        <v>129</v>
      </c>
      <c r="L665" s="69"/>
    </row>
    <row r="666" spans="1:12" ht="18" customHeight="1" hidden="1">
      <c r="A666" s="472" t="s">
        <v>108</v>
      </c>
      <c r="B666" s="474" t="s">
        <v>109</v>
      </c>
      <c r="C666" s="484" t="s">
        <v>253</v>
      </c>
      <c r="D666" s="440">
        <v>2017</v>
      </c>
      <c r="E666" s="433">
        <f>F666+G666+H666+I667</f>
        <v>141104</v>
      </c>
      <c r="F666" s="433">
        <v>73220</v>
      </c>
      <c r="G666" s="433">
        <v>62884</v>
      </c>
      <c r="H666" s="433">
        <v>5000</v>
      </c>
      <c r="I666" s="433"/>
      <c r="J666" s="518" t="s">
        <v>116</v>
      </c>
      <c r="K666" s="436" t="s">
        <v>129</v>
      </c>
      <c r="L666" s="69"/>
    </row>
    <row r="667" spans="1:12" ht="27" customHeight="1" hidden="1">
      <c r="A667" s="473"/>
      <c r="B667" s="475"/>
      <c r="C667" s="485"/>
      <c r="D667" s="471"/>
      <c r="E667" s="435"/>
      <c r="F667" s="435"/>
      <c r="G667" s="435"/>
      <c r="H667" s="435"/>
      <c r="I667" s="435"/>
      <c r="J667" s="519"/>
      <c r="K667" s="437"/>
      <c r="L667" s="69"/>
    </row>
    <row r="668" spans="1:12" ht="27.75" customHeight="1">
      <c r="A668" s="648" t="s">
        <v>94</v>
      </c>
      <c r="B668" s="413"/>
      <c r="C668" s="414"/>
      <c r="D668" s="415">
        <v>2015</v>
      </c>
      <c r="E668" s="214">
        <f>E658+E659+E662+E665</f>
        <v>234888.866</v>
      </c>
      <c r="F668" s="86">
        <f>F658+F659+F662+F665</f>
        <v>48387.96</v>
      </c>
      <c r="G668" s="86">
        <f>G658+G659+G662+G665</f>
        <v>177120.356</v>
      </c>
      <c r="H668" s="86">
        <f>H658+H659+H662+H665</f>
        <v>9380.55</v>
      </c>
      <c r="I668" s="104"/>
      <c r="J668" s="416" t="s">
        <v>398</v>
      </c>
      <c r="K668" s="436"/>
      <c r="L668" s="69"/>
    </row>
    <row r="669" spans="1:12" ht="22.5" customHeight="1">
      <c r="A669" s="649"/>
      <c r="B669" s="413"/>
      <c r="C669" s="414"/>
      <c r="D669" s="415">
        <v>2016</v>
      </c>
      <c r="E669" s="86">
        <f>F669+G669+H669</f>
        <v>77094.46</v>
      </c>
      <c r="F669" s="86">
        <v>15282.06</v>
      </c>
      <c r="G669" s="85">
        <v>60137.9</v>
      </c>
      <c r="H669" s="86">
        <v>1674.5</v>
      </c>
      <c r="I669" s="214"/>
      <c r="J669" s="416" t="s">
        <v>519</v>
      </c>
      <c r="K669" s="446"/>
      <c r="L669" s="69"/>
    </row>
    <row r="670" spans="1:12" ht="22.5" customHeight="1" hidden="1">
      <c r="A670" s="649"/>
      <c r="B670" s="413"/>
      <c r="C670" s="414"/>
      <c r="D670" s="415"/>
      <c r="E670" s="86">
        <f>F670+G670+H670</f>
        <v>0</v>
      </c>
      <c r="F670" s="104"/>
      <c r="G670" s="104"/>
      <c r="H670" s="104"/>
      <c r="I670" s="104"/>
      <c r="J670" s="417"/>
      <c r="K670" s="446"/>
      <c r="L670" s="69"/>
    </row>
    <row r="671" spans="1:13" ht="22.5" customHeight="1">
      <c r="A671" s="649"/>
      <c r="B671" s="413"/>
      <c r="C671" s="414"/>
      <c r="D671" s="415">
        <v>2017</v>
      </c>
      <c r="E671" s="86">
        <f>F671+G671+H671</f>
        <v>85196.11</v>
      </c>
      <c r="F671" s="86">
        <v>14914.91</v>
      </c>
      <c r="G671" s="85">
        <f>G666</f>
        <v>62884</v>
      </c>
      <c r="H671" s="86">
        <v>7397.2</v>
      </c>
      <c r="I671" s="104"/>
      <c r="J671" s="416" t="s">
        <v>520</v>
      </c>
      <c r="K671" s="446"/>
      <c r="L671" s="69"/>
      <c r="M671" s="2"/>
    </row>
    <row r="672" spans="1:13" ht="22.5" customHeight="1" thickBot="1">
      <c r="A672" s="650"/>
      <c r="B672" s="418"/>
      <c r="C672" s="419"/>
      <c r="D672" s="420">
        <v>2018</v>
      </c>
      <c r="E672" s="86">
        <f>F672+G672+H672</f>
        <v>105677.87</v>
      </c>
      <c r="F672" s="86">
        <v>40083.56</v>
      </c>
      <c r="G672" s="205">
        <v>62884</v>
      </c>
      <c r="H672" s="86">
        <v>2710.31</v>
      </c>
      <c r="I672" s="80"/>
      <c r="J672" s="83" t="s">
        <v>521</v>
      </c>
      <c r="K672" s="490"/>
      <c r="L672" s="69"/>
      <c r="M672" s="2"/>
    </row>
    <row r="673" spans="1:13" ht="40.5" customHeight="1" thickTop="1">
      <c r="A673" s="630" t="s">
        <v>580</v>
      </c>
      <c r="B673" s="633" t="s">
        <v>418</v>
      </c>
      <c r="C673" s="636" t="s">
        <v>410</v>
      </c>
      <c r="D673" s="421">
        <v>2016</v>
      </c>
      <c r="E673" s="156">
        <f>F673+G673+H673+I673</f>
        <v>53241</v>
      </c>
      <c r="F673" s="156"/>
      <c r="G673" s="156">
        <v>39900</v>
      </c>
      <c r="H673" s="156">
        <v>1500</v>
      </c>
      <c r="I673" s="422">
        <v>11841</v>
      </c>
      <c r="J673" s="423" t="s">
        <v>512</v>
      </c>
      <c r="K673" s="489" t="s">
        <v>87</v>
      </c>
      <c r="L673" s="69"/>
      <c r="M673" s="2"/>
    </row>
    <row r="674" spans="1:13" ht="29.25" customHeight="1">
      <c r="A674" s="631"/>
      <c r="B674" s="634"/>
      <c r="C674" s="637"/>
      <c r="D674" s="424">
        <v>2017</v>
      </c>
      <c r="E674" s="133">
        <f>F674+G674+H674+I674</f>
        <v>56201</v>
      </c>
      <c r="F674" s="133"/>
      <c r="G674" s="133">
        <v>39900</v>
      </c>
      <c r="H674" s="133">
        <v>1500</v>
      </c>
      <c r="I674" s="425">
        <v>14801</v>
      </c>
      <c r="J674" s="416" t="s">
        <v>513</v>
      </c>
      <c r="K674" s="446"/>
      <c r="L674" s="69"/>
      <c r="M674" s="2"/>
    </row>
    <row r="675" spans="1:13" ht="26.25" customHeight="1" thickBot="1">
      <c r="A675" s="632"/>
      <c r="B675" s="635"/>
      <c r="C675" s="638"/>
      <c r="D675" s="426">
        <v>2018</v>
      </c>
      <c r="E675" s="169">
        <f>F675+G675+H675+I675</f>
        <v>53241</v>
      </c>
      <c r="F675" s="169"/>
      <c r="G675" s="169">
        <v>39900</v>
      </c>
      <c r="H675" s="169">
        <v>1500</v>
      </c>
      <c r="I675" s="427">
        <v>11841</v>
      </c>
      <c r="J675" s="83" t="s">
        <v>514</v>
      </c>
      <c r="K675" s="490"/>
      <c r="L675" s="69"/>
      <c r="M675" s="2"/>
    </row>
    <row r="676" spans="1:11" ht="15.75" thickTop="1">
      <c r="A676" s="459" t="s">
        <v>252</v>
      </c>
      <c r="B676" s="461"/>
      <c r="C676" s="463"/>
      <c r="D676" s="304">
        <v>2014</v>
      </c>
      <c r="E676" s="428">
        <f>E635+E647+E28+E18</f>
        <v>2054801.13</v>
      </c>
      <c r="F676" s="428">
        <f>F635+F647+F28+F18</f>
        <v>349232.05</v>
      </c>
      <c r="G676" s="428">
        <f>G635+G647+G28+G18</f>
        <v>1295346.44</v>
      </c>
      <c r="H676" s="428">
        <f>H635+H647+H28+H18</f>
        <v>97663.04</v>
      </c>
      <c r="I676" s="428">
        <f>I635+I647+I28+I18</f>
        <v>312559.60000000003</v>
      </c>
      <c r="J676" s="620"/>
      <c r="K676" s="622"/>
    </row>
    <row r="677" spans="1:11" ht="15.75" customHeight="1">
      <c r="A677" s="459"/>
      <c r="B677" s="461"/>
      <c r="C677" s="463"/>
      <c r="D677" s="252">
        <v>2015</v>
      </c>
      <c r="E677" s="429">
        <f>E636+E648+E29+E19+E668</f>
        <v>2251518.4760000003</v>
      </c>
      <c r="F677" s="429">
        <f>F636+F648+F29+F19+F668</f>
        <v>155444.53</v>
      </c>
      <c r="G677" s="429">
        <f>G636+G648+G29+G19+G668</f>
        <v>1790378.656</v>
      </c>
      <c r="H677" s="429">
        <f>H636+H648+H29+H19+H668</f>
        <v>164893.74999999997</v>
      </c>
      <c r="I677" s="429">
        <f>I636+I648+I29+I19+I668</f>
        <v>140801.53999999998</v>
      </c>
      <c r="J677" s="620"/>
      <c r="K677" s="622"/>
    </row>
    <row r="678" spans="1:13" ht="15">
      <c r="A678" s="459"/>
      <c r="B678" s="461"/>
      <c r="C678" s="463"/>
      <c r="D678" s="252">
        <v>2016</v>
      </c>
      <c r="E678" s="429">
        <f>E637+E649+E30+E20+E669+E673</f>
        <v>1932563.709</v>
      </c>
      <c r="F678" s="429">
        <f>F637+F649+F30+F20+F669+F673</f>
        <v>137945.06</v>
      </c>
      <c r="G678" s="429">
        <f>G637+G649+G30+G20+G669+G673</f>
        <v>1395200.2489999998</v>
      </c>
      <c r="H678" s="429">
        <f>H637+H649+H30+H20+H669+H673</f>
        <v>257392.4</v>
      </c>
      <c r="I678" s="429">
        <f>I637+I649+I30+I20+I669+I673</f>
        <v>142026</v>
      </c>
      <c r="J678" s="620"/>
      <c r="K678" s="622"/>
      <c r="L678" s="72"/>
      <c r="M678" s="8"/>
    </row>
    <row r="679" spans="1:13" ht="15">
      <c r="A679" s="459"/>
      <c r="B679" s="461"/>
      <c r="C679" s="463"/>
      <c r="D679" s="430">
        <v>2017</v>
      </c>
      <c r="E679" s="429">
        <f>E653+E638+E31+E21+E671+E674</f>
        <v>1618725.11</v>
      </c>
      <c r="F679" s="429">
        <f>F653+F638+F31+F21+F671+F674</f>
        <v>95879.91</v>
      </c>
      <c r="G679" s="429">
        <f>G653+G638+G31+G21+G671+G674</f>
        <v>1322287</v>
      </c>
      <c r="H679" s="429">
        <f>H653+H638+H31+H21+H671+H674</f>
        <v>59572.2</v>
      </c>
      <c r="I679" s="429">
        <f>I653+I638+I31+I21+I671+I674</f>
        <v>140986</v>
      </c>
      <c r="J679" s="620"/>
      <c r="K679" s="622"/>
      <c r="L679" s="72"/>
      <c r="M679" s="8"/>
    </row>
    <row r="680" spans="1:13" ht="15">
      <c r="A680" s="460"/>
      <c r="B680" s="462"/>
      <c r="C680" s="464"/>
      <c r="D680" s="430">
        <v>2018</v>
      </c>
      <c r="E680" s="429">
        <f>E22+E32+E675+E654+E672+E640</f>
        <v>1258169.67</v>
      </c>
      <c r="F680" s="429">
        <f>F22+F32+F675+F654+F672+F640</f>
        <v>116785.56</v>
      </c>
      <c r="G680" s="429">
        <f>G22+G32+G675+G654+G672+G640</f>
        <v>990822.3</v>
      </c>
      <c r="H680" s="429">
        <f>H22+H32+H675+H654+H672+H640</f>
        <v>12535.81</v>
      </c>
      <c r="I680" s="429">
        <f>I22+I32+I675+I654+I672+I640</f>
        <v>138026</v>
      </c>
      <c r="J680" s="621"/>
      <c r="K680" s="623"/>
      <c r="L680" s="72"/>
      <c r="M680" s="8"/>
    </row>
    <row r="681" spans="1:12" ht="3" customHeight="1">
      <c r="A681" s="108"/>
      <c r="B681" s="115"/>
      <c r="C681" s="116"/>
      <c r="D681" s="109"/>
      <c r="E681" s="108"/>
      <c r="F681" s="431"/>
      <c r="G681" s="431"/>
      <c r="H681" s="431"/>
      <c r="I681" s="108"/>
      <c r="J681" s="108"/>
      <c r="K681" s="121"/>
      <c r="L681" s="72"/>
    </row>
    <row r="682" spans="1:11" ht="15">
      <c r="A682" s="108" t="s">
        <v>238</v>
      </c>
      <c r="B682" s="115"/>
      <c r="C682" s="432"/>
      <c r="D682" s="109"/>
      <c r="E682" s="108"/>
      <c r="F682" s="108"/>
      <c r="G682" s="431"/>
      <c r="H682" s="108"/>
      <c r="I682" s="108"/>
      <c r="J682" s="108"/>
      <c r="K682" s="121"/>
    </row>
    <row r="683" spans="1:11" ht="15">
      <c r="A683" s="108" t="s">
        <v>400</v>
      </c>
      <c r="B683" s="115"/>
      <c r="C683" s="432"/>
      <c r="D683" s="109"/>
      <c r="E683" s="108"/>
      <c r="F683" s="108"/>
      <c r="G683" s="108"/>
      <c r="H683" s="108"/>
      <c r="I683" s="108"/>
      <c r="J683" s="108"/>
      <c r="K683" s="121"/>
    </row>
    <row r="684" spans="1:11" ht="15">
      <c r="A684" s="108" t="s">
        <v>401</v>
      </c>
      <c r="B684" s="115"/>
      <c r="C684" s="116"/>
      <c r="D684" s="109"/>
      <c r="E684" s="108"/>
      <c r="F684" s="108"/>
      <c r="G684" s="108"/>
      <c r="H684" s="108"/>
      <c r="I684" s="108"/>
      <c r="J684" s="108"/>
      <c r="K684" s="121"/>
    </row>
    <row r="685" spans="1:11" ht="15">
      <c r="A685" s="44"/>
      <c r="B685" s="77"/>
      <c r="C685" s="75"/>
      <c r="D685" s="45"/>
      <c r="E685" s="44"/>
      <c r="F685" s="44"/>
      <c r="G685" s="44"/>
      <c r="H685" s="44"/>
      <c r="I685" s="44"/>
      <c r="J685" s="44"/>
      <c r="K685" s="46"/>
    </row>
    <row r="686" spans="1:11" ht="15">
      <c r="A686" s="44"/>
      <c r="B686" s="77"/>
      <c r="C686" s="75"/>
      <c r="D686" s="45"/>
      <c r="E686" s="44"/>
      <c r="F686" s="44"/>
      <c r="G686" s="44"/>
      <c r="H686" s="44"/>
      <c r="I686" s="44"/>
      <c r="J686" s="44"/>
      <c r="K686" s="46"/>
    </row>
    <row r="687" spans="1:11" ht="15">
      <c r="A687" s="44"/>
      <c r="B687" s="77"/>
      <c r="C687" s="75"/>
      <c r="D687" s="45"/>
      <c r="E687" s="44"/>
      <c r="F687" s="44"/>
      <c r="G687" s="44"/>
      <c r="H687" s="44"/>
      <c r="I687" s="44"/>
      <c r="J687" s="44"/>
      <c r="K687" s="46"/>
    </row>
    <row r="688" spans="1:11" ht="15">
      <c r="A688" s="44"/>
      <c r="B688" s="77"/>
      <c r="C688" s="75"/>
      <c r="D688" s="45"/>
      <c r="E688" s="44"/>
      <c r="F688" s="44"/>
      <c r="G688" s="44"/>
      <c r="H688" s="44"/>
      <c r="I688" s="44"/>
      <c r="J688" s="44"/>
      <c r="K688" s="46"/>
    </row>
    <row r="689" spans="1:11" ht="15">
      <c r="A689" s="44"/>
      <c r="B689" s="77"/>
      <c r="C689" s="75"/>
      <c r="D689" s="45"/>
      <c r="E689" s="44"/>
      <c r="F689" s="44"/>
      <c r="G689" s="44"/>
      <c r="H689" s="44"/>
      <c r="I689" s="44"/>
      <c r="J689" s="44"/>
      <c r="K689" s="46"/>
    </row>
    <row r="690" spans="1:11" ht="15">
      <c r="A690" s="44"/>
      <c r="B690" s="77"/>
      <c r="C690" s="75"/>
      <c r="D690" s="45"/>
      <c r="E690" s="44"/>
      <c r="F690" s="44"/>
      <c r="G690" s="44"/>
      <c r="H690" s="44"/>
      <c r="I690" s="44"/>
      <c r="J690" s="44"/>
      <c r="K690" s="46"/>
    </row>
    <row r="691" spans="1:11" ht="15">
      <c r="A691" s="44"/>
      <c r="B691" s="77"/>
      <c r="C691" s="75"/>
      <c r="D691" s="45"/>
      <c r="E691" s="44"/>
      <c r="F691" s="44"/>
      <c r="G691" s="44"/>
      <c r="H691" s="44"/>
      <c r="I691" s="44"/>
      <c r="J691" s="44"/>
      <c r="K691" s="46"/>
    </row>
    <row r="692" spans="1:11" ht="15">
      <c r="A692" s="44"/>
      <c r="B692" s="77"/>
      <c r="C692" s="75"/>
      <c r="D692" s="45"/>
      <c r="E692" s="44"/>
      <c r="F692" s="44"/>
      <c r="G692" s="44"/>
      <c r="H692" s="44"/>
      <c r="I692" s="44"/>
      <c r="J692" s="44"/>
      <c r="K692" s="46"/>
    </row>
    <row r="693" spans="1:11" ht="15">
      <c r="A693" s="44"/>
      <c r="B693" s="77"/>
      <c r="C693" s="75"/>
      <c r="D693" s="45"/>
      <c r="E693" s="44"/>
      <c r="F693" s="44"/>
      <c r="G693" s="44"/>
      <c r="H693" s="44"/>
      <c r="I693" s="44"/>
      <c r="J693" s="44"/>
      <c r="K693" s="46"/>
    </row>
    <row r="694" spans="1:11" ht="15">
      <c r="A694" s="44"/>
      <c r="B694" s="77"/>
      <c r="C694" s="75"/>
      <c r="D694" s="45"/>
      <c r="E694" s="44"/>
      <c r="F694" s="44"/>
      <c r="G694" s="44"/>
      <c r="H694" s="44"/>
      <c r="I694" s="44"/>
      <c r="J694" s="44"/>
      <c r="K694" s="46"/>
    </row>
    <row r="695" spans="1:11" ht="15">
      <c r="A695" s="44"/>
      <c r="B695" s="77"/>
      <c r="C695" s="75"/>
      <c r="D695" s="45"/>
      <c r="E695" s="44"/>
      <c r="F695" s="44"/>
      <c r="G695" s="44"/>
      <c r="H695" s="44"/>
      <c r="I695" s="44"/>
      <c r="J695" s="44"/>
      <c r="K695" s="46"/>
    </row>
    <row r="696" spans="1:11" ht="15">
      <c r="A696" s="44"/>
      <c r="B696" s="77"/>
      <c r="C696" s="75"/>
      <c r="D696" s="45"/>
      <c r="E696" s="44"/>
      <c r="F696" s="44"/>
      <c r="G696" s="44"/>
      <c r="H696" s="44"/>
      <c r="I696" s="44"/>
      <c r="J696" s="44"/>
      <c r="K696" s="46"/>
    </row>
    <row r="697" spans="1:11" ht="15">
      <c r="A697" s="44"/>
      <c r="B697" s="77"/>
      <c r="C697" s="75"/>
      <c r="D697" s="45"/>
      <c r="E697" s="44"/>
      <c r="F697" s="44"/>
      <c r="G697" s="44"/>
      <c r="H697" s="44"/>
      <c r="I697" s="44"/>
      <c r="J697" s="44"/>
      <c r="K697" s="46"/>
    </row>
  </sheetData>
  <sheetProtection/>
  <mergeCells count="1229">
    <mergeCell ref="J676:J680"/>
    <mergeCell ref="K676:K680"/>
    <mergeCell ref="K28:K32"/>
    <mergeCell ref="A294:A298"/>
    <mergeCell ref="B294:B298"/>
    <mergeCell ref="C294:C298"/>
    <mergeCell ref="B51:B56"/>
    <mergeCell ref="C51:C56"/>
    <mergeCell ref="K51:K56"/>
    <mergeCell ref="A146:A150"/>
    <mergeCell ref="B146:B150"/>
    <mergeCell ref="C146:C150"/>
    <mergeCell ref="K146:K150"/>
    <mergeCell ref="K143:K144"/>
    <mergeCell ref="K141:K142"/>
    <mergeCell ref="K126:K127"/>
    <mergeCell ref="A673:A675"/>
    <mergeCell ref="B673:B675"/>
    <mergeCell ref="C673:C675"/>
    <mergeCell ref="K673:K675"/>
    <mergeCell ref="A635:A640"/>
    <mergeCell ref="B635:B640"/>
    <mergeCell ref="C635:C640"/>
    <mergeCell ref="K635:K640"/>
    <mergeCell ref="J643:J644"/>
    <mergeCell ref="E643:E644"/>
    <mergeCell ref="K342:K346"/>
    <mergeCell ref="A647:A654"/>
    <mergeCell ref="A33:K33"/>
    <mergeCell ref="A58:K58"/>
    <mergeCell ref="A151:K151"/>
    <mergeCell ref="A668:A672"/>
    <mergeCell ref="L72:L73"/>
    <mergeCell ref="D180:D181"/>
    <mergeCell ref="E180:E181"/>
    <mergeCell ref="G180:G181"/>
    <mergeCell ref="H180:H181"/>
    <mergeCell ref="F180:F181"/>
    <mergeCell ref="K179:K181"/>
    <mergeCell ref="L156:L157"/>
    <mergeCell ref="L152:L153"/>
    <mergeCell ref="A542:A545"/>
    <mergeCell ref="B542:B545"/>
    <mergeCell ref="C542:C545"/>
    <mergeCell ref="A566:A567"/>
    <mergeCell ref="B566:B567"/>
    <mergeCell ref="C566:C567"/>
    <mergeCell ref="A560:A561"/>
    <mergeCell ref="B560:B561"/>
    <mergeCell ref="C553:C554"/>
    <mergeCell ref="A562:A563"/>
    <mergeCell ref="A372:A374"/>
    <mergeCell ref="B372:B374"/>
    <mergeCell ref="C372:C374"/>
    <mergeCell ref="J372:J374"/>
    <mergeCell ref="K372:K374"/>
    <mergeCell ref="A386:A390"/>
    <mergeCell ref="C386:C390"/>
    <mergeCell ref="B378:B380"/>
    <mergeCell ref="D429:D431"/>
    <mergeCell ref="E453:E454"/>
    <mergeCell ref="E458:E460"/>
    <mergeCell ref="I451:I452"/>
    <mergeCell ref="L154:L155"/>
    <mergeCell ref="K668:K672"/>
    <mergeCell ref="A458:A461"/>
    <mergeCell ref="B616:B617"/>
    <mergeCell ref="B622:B624"/>
    <mergeCell ref="H659:H660"/>
    <mergeCell ref="I659:I660"/>
    <mergeCell ref="K309:K311"/>
    <mergeCell ref="I357:I358"/>
    <mergeCell ref="I379:I380"/>
    <mergeCell ref="J230:J232"/>
    <mergeCell ref="J218:J222"/>
    <mergeCell ref="J197:J199"/>
    <mergeCell ref="J312:J314"/>
    <mergeCell ref="J319:J321"/>
    <mergeCell ref="J253:J256"/>
    <mergeCell ref="J234:J235"/>
    <mergeCell ref="A564:A565"/>
    <mergeCell ref="K234:K235"/>
    <mergeCell ref="K207:K208"/>
    <mergeCell ref="K227:K229"/>
    <mergeCell ref="K336:K337"/>
    <mergeCell ref="K331:K332"/>
    <mergeCell ref="K433:K435"/>
    <mergeCell ref="K407:K409"/>
    <mergeCell ref="K230:K232"/>
    <mergeCell ref="A557:A558"/>
    <mergeCell ref="C458:C461"/>
    <mergeCell ref="B488:B489"/>
    <mergeCell ref="J458:J461"/>
    <mergeCell ref="A505:A506"/>
    <mergeCell ref="A550:A552"/>
    <mergeCell ref="A553:A556"/>
    <mergeCell ref="B505:B506"/>
    <mergeCell ref="B429:B432"/>
    <mergeCell ref="C547:C548"/>
    <mergeCell ref="A512:A513"/>
    <mergeCell ref="A519:A520"/>
    <mergeCell ref="A531:A533"/>
    <mergeCell ref="A529:A530"/>
    <mergeCell ref="A547:A548"/>
    <mergeCell ref="A534:A536"/>
    <mergeCell ref="B529:B530"/>
    <mergeCell ref="K470:K474"/>
    <mergeCell ref="J475:J477"/>
    <mergeCell ref="G502:G503"/>
    <mergeCell ref="K429:K432"/>
    <mergeCell ref="K462:K465"/>
    <mergeCell ref="K542:K544"/>
    <mergeCell ref="A490:A501"/>
    <mergeCell ref="A466:A469"/>
    <mergeCell ref="C505:C506"/>
    <mergeCell ref="A516:A518"/>
    <mergeCell ref="A470:A474"/>
    <mergeCell ref="B470:B474"/>
    <mergeCell ref="J466:J469"/>
    <mergeCell ref="E485:E486"/>
    <mergeCell ref="D453:D454"/>
    <mergeCell ref="D458:D460"/>
    <mergeCell ref="C462:C465"/>
    <mergeCell ref="C510:C511"/>
    <mergeCell ref="B466:B469"/>
    <mergeCell ref="F466:F467"/>
    <mergeCell ref="C529:C530"/>
    <mergeCell ref="J519:J520"/>
    <mergeCell ref="K410:K412"/>
    <mergeCell ref="K566:K567"/>
    <mergeCell ref="K458:K461"/>
    <mergeCell ref="K505:K506"/>
    <mergeCell ref="K516:K518"/>
    <mergeCell ref="F407:F409"/>
    <mergeCell ref="J584:J585"/>
    <mergeCell ref="K584:K585"/>
    <mergeCell ref="H570:H571"/>
    <mergeCell ref="K416:K418"/>
    <mergeCell ref="K519:K520"/>
    <mergeCell ref="F404:F406"/>
    <mergeCell ref="H479:H480"/>
    <mergeCell ref="F490:F491"/>
    <mergeCell ref="K534:K536"/>
    <mergeCell ref="K564:K565"/>
    <mergeCell ref="K560:K561"/>
    <mergeCell ref="K521:K525"/>
    <mergeCell ref="F446:F447"/>
    <mergeCell ref="F451:F452"/>
    <mergeCell ref="A526:K526"/>
    <mergeCell ref="A462:A465"/>
    <mergeCell ref="A479:A482"/>
    <mergeCell ref="A510:A511"/>
    <mergeCell ref="B550:B552"/>
    <mergeCell ref="A538:A539"/>
    <mergeCell ref="B512:B513"/>
    <mergeCell ref="C512:C513"/>
    <mergeCell ref="K510:K511"/>
    <mergeCell ref="K490:K501"/>
    <mergeCell ref="K502:K504"/>
    <mergeCell ref="J516:J518"/>
    <mergeCell ref="K313:K314"/>
    <mergeCell ref="H135:H136"/>
    <mergeCell ref="J143:J144"/>
    <mergeCell ref="J132:J134"/>
    <mergeCell ref="J138:J140"/>
    <mergeCell ref="K154:K155"/>
    <mergeCell ref="I207:I208"/>
    <mergeCell ref="I189:I190"/>
    <mergeCell ref="I186:I187"/>
    <mergeCell ref="I253:I256"/>
    <mergeCell ref="I248:I250"/>
    <mergeCell ref="I246:I247"/>
    <mergeCell ref="F234:F235"/>
    <mergeCell ref="B300:B302"/>
    <mergeCell ref="B315:B318"/>
    <mergeCell ref="C290:C291"/>
    <mergeCell ref="C315:C317"/>
    <mergeCell ref="J315:J317"/>
    <mergeCell ref="C270:C271"/>
    <mergeCell ref="D279:D280"/>
    <mergeCell ref="D270:D271"/>
    <mergeCell ref="E300:E301"/>
    <mergeCell ref="B290:B291"/>
    <mergeCell ref="D274:D275"/>
    <mergeCell ref="B143:B144"/>
    <mergeCell ref="F135:F136"/>
    <mergeCell ref="G135:G136"/>
    <mergeCell ref="B225:B226"/>
    <mergeCell ref="C204:C206"/>
    <mergeCell ref="C207:C208"/>
    <mergeCell ref="D248:D250"/>
    <mergeCell ref="D234:D235"/>
    <mergeCell ref="J361:J362"/>
    <mergeCell ref="C382:C383"/>
    <mergeCell ref="F399:F401"/>
    <mergeCell ref="A299:K299"/>
    <mergeCell ref="A347:K347"/>
    <mergeCell ref="J238:J240"/>
    <mergeCell ref="K200:K201"/>
    <mergeCell ref="K204:K206"/>
    <mergeCell ref="D230:D231"/>
    <mergeCell ref="B236:B237"/>
    <mergeCell ref="E248:E250"/>
    <mergeCell ref="H248:H250"/>
    <mergeCell ref="G248:G250"/>
    <mergeCell ref="B246:B247"/>
    <mergeCell ref="C248:C250"/>
    <mergeCell ref="C234:C235"/>
    <mergeCell ref="A156:A157"/>
    <mergeCell ref="B230:B232"/>
    <mergeCell ref="B227:B229"/>
    <mergeCell ref="J189:J191"/>
    <mergeCell ref="J159:J160"/>
    <mergeCell ref="F207:F208"/>
    <mergeCell ref="H227:H228"/>
    <mergeCell ref="F189:F190"/>
    <mergeCell ref="B319:B321"/>
    <mergeCell ref="B325:B327"/>
    <mergeCell ref="J333:J335"/>
    <mergeCell ref="D357:D358"/>
    <mergeCell ref="C338:C341"/>
    <mergeCell ref="C331:C332"/>
    <mergeCell ref="C322:C324"/>
    <mergeCell ref="B342:B346"/>
    <mergeCell ref="B516:B518"/>
    <mergeCell ref="C516:C518"/>
    <mergeCell ref="I502:I503"/>
    <mergeCell ref="H266:H267"/>
    <mergeCell ref="J309:J311"/>
    <mergeCell ref="J307:J308"/>
    <mergeCell ref="I300:I301"/>
    <mergeCell ref="I266:I267"/>
    <mergeCell ref="E270:E271"/>
    <mergeCell ref="J328:J330"/>
    <mergeCell ref="J349:J351"/>
    <mergeCell ref="J331:J332"/>
    <mergeCell ref="D246:D247"/>
    <mergeCell ref="C246:C247"/>
    <mergeCell ref="B244:B245"/>
    <mergeCell ref="D433:D435"/>
    <mergeCell ref="K281:K282"/>
    <mergeCell ref="K278:K280"/>
    <mergeCell ref="K300:K302"/>
    <mergeCell ref="H270:H271"/>
    <mergeCell ref="E272:E273"/>
    <mergeCell ref="G300:G301"/>
    <mergeCell ref="H272:H273"/>
    <mergeCell ref="G246:G247"/>
    <mergeCell ref="J281:J282"/>
    <mergeCell ref="J278:J280"/>
    <mergeCell ref="E274:E275"/>
    <mergeCell ref="B309:B311"/>
    <mergeCell ref="B312:B314"/>
    <mergeCell ref="B338:B341"/>
    <mergeCell ref="B333:B335"/>
    <mergeCell ref="B322:B324"/>
    <mergeCell ref="F246:F247"/>
    <mergeCell ref="F248:F250"/>
    <mergeCell ref="E154:E155"/>
    <mergeCell ref="F154:F155"/>
    <mergeCell ref="I230:I231"/>
    <mergeCell ref="I227:I228"/>
    <mergeCell ref="F230:F231"/>
    <mergeCell ref="A172:K172"/>
    <mergeCell ref="A173:K173"/>
    <mergeCell ref="J200:J201"/>
    <mergeCell ref="J204:J206"/>
    <mergeCell ref="J207:J208"/>
    <mergeCell ref="F227:F228"/>
    <mergeCell ref="K209:K211"/>
    <mergeCell ref="K100:K103"/>
    <mergeCell ref="J263:J265"/>
    <mergeCell ref="J128:J129"/>
    <mergeCell ref="E246:E247"/>
    <mergeCell ref="J248:J250"/>
    <mergeCell ref="E253:E256"/>
    <mergeCell ref="D253:D256"/>
    <mergeCell ref="C214:C215"/>
    <mergeCell ref="B218:B222"/>
    <mergeCell ref="B223:B224"/>
    <mergeCell ref="H234:H235"/>
    <mergeCell ref="F253:F256"/>
    <mergeCell ref="J118:J119"/>
    <mergeCell ref="K186:K188"/>
    <mergeCell ref="J130:J131"/>
    <mergeCell ref="G152:G153"/>
    <mergeCell ref="K152:K153"/>
    <mergeCell ref="B112:B114"/>
    <mergeCell ref="I234:I235"/>
    <mergeCell ref="G88:G89"/>
    <mergeCell ref="F88:F89"/>
    <mergeCell ref="H101:H102"/>
    <mergeCell ref="G94:G95"/>
    <mergeCell ref="I88:I89"/>
    <mergeCell ref="E230:E231"/>
    <mergeCell ref="E135:E136"/>
    <mergeCell ref="E94:E95"/>
    <mergeCell ref="J209:J211"/>
    <mergeCell ref="J212:J213"/>
    <mergeCell ref="J227:J229"/>
    <mergeCell ref="K218:K222"/>
    <mergeCell ref="E234:E235"/>
    <mergeCell ref="H152:H153"/>
    <mergeCell ref="G227:G228"/>
    <mergeCell ref="H207:H208"/>
    <mergeCell ref="K93:K96"/>
    <mergeCell ref="K87:K90"/>
    <mergeCell ref="K98:K99"/>
    <mergeCell ref="I101:I102"/>
    <mergeCell ref="I94:I95"/>
    <mergeCell ref="J100:J103"/>
    <mergeCell ref="H186:H187"/>
    <mergeCell ref="G101:G102"/>
    <mergeCell ref="H154:H155"/>
    <mergeCell ref="H159:H160"/>
    <mergeCell ref="C353:C354"/>
    <mergeCell ref="C378:C380"/>
    <mergeCell ref="A312:A314"/>
    <mergeCell ref="K75:K76"/>
    <mergeCell ref="J141:J142"/>
    <mergeCell ref="J75:J76"/>
    <mergeCell ref="K138:K140"/>
    <mergeCell ref="J135:J137"/>
    <mergeCell ref="K135:K137"/>
    <mergeCell ref="J81:J82"/>
    <mergeCell ref="J272:J273"/>
    <mergeCell ref="K242:K243"/>
    <mergeCell ref="K253:K256"/>
    <mergeCell ref="K248:K250"/>
    <mergeCell ref="J257:J258"/>
    <mergeCell ref="K257:K258"/>
    <mergeCell ref="K266:K269"/>
    <mergeCell ref="J266:J269"/>
    <mergeCell ref="J270:J271"/>
    <mergeCell ref="F320:F321"/>
    <mergeCell ref="G320:G321"/>
    <mergeCell ref="K189:K191"/>
    <mergeCell ref="J152:J153"/>
    <mergeCell ref="J154:J155"/>
    <mergeCell ref="K81:K82"/>
    <mergeCell ref="J115:J117"/>
    <mergeCell ref="J87:J90"/>
    <mergeCell ref="J112:J113"/>
    <mergeCell ref="K238:K240"/>
    <mergeCell ref="K115:K117"/>
    <mergeCell ref="K133:K134"/>
    <mergeCell ref="J104:J105"/>
    <mergeCell ref="B125:B127"/>
    <mergeCell ref="B123:B124"/>
    <mergeCell ref="B109:B111"/>
    <mergeCell ref="C342:C346"/>
    <mergeCell ref="D379:D380"/>
    <mergeCell ref="G363:G364"/>
    <mergeCell ref="E320:E321"/>
    <mergeCell ref="F357:F358"/>
    <mergeCell ref="B283:B284"/>
    <mergeCell ref="C283:C284"/>
    <mergeCell ref="B303:B306"/>
    <mergeCell ref="C300:C302"/>
    <mergeCell ref="C303:C306"/>
    <mergeCell ref="A281:A282"/>
    <mergeCell ref="B270:B271"/>
    <mergeCell ref="B251:B252"/>
    <mergeCell ref="A253:A256"/>
    <mergeCell ref="B253:B256"/>
    <mergeCell ref="B261:B262"/>
    <mergeCell ref="B281:B282"/>
    <mergeCell ref="C309:C311"/>
    <mergeCell ref="F270:F271"/>
    <mergeCell ref="C361:C362"/>
    <mergeCell ref="C328:C330"/>
    <mergeCell ref="F272:F273"/>
    <mergeCell ref="E266:E267"/>
    <mergeCell ref="D272:D273"/>
    <mergeCell ref="C266:C269"/>
    <mergeCell ref="A309:A311"/>
    <mergeCell ref="F274:F275"/>
    <mergeCell ref="C319:C321"/>
    <mergeCell ref="B353:B354"/>
    <mergeCell ref="B161:B162"/>
    <mergeCell ref="A87:A90"/>
    <mergeCell ref="A115:A117"/>
    <mergeCell ref="B18:B27"/>
    <mergeCell ref="C416:C418"/>
    <mergeCell ref="C333:C335"/>
    <mergeCell ref="C18:C27"/>
    <mergeCell ref="B91:B92"/>
    <mergeCell ref="A125:A127"/>
    <mergeCell ref="A200:A201"/>
    <mergeCell ref="C281:C282"/>
    <mergeCell ref="B212:B213"/>
    <mergeCell ref="C209:C211"/>
    <mergeCell ref="A278:A279"/>
    <mergeCell ref="B272:B273"/>
    <mergeCell ref="A270:A271"/>
    <mergeCell ref="A272:A273"/>
    <mergeCell ref="B257:B258"/>
    <mergeCell ref="A261:A262"/>
    <mergeCell ref="A266:A269"/>
    <mergeCell ref="B266:B269"/>
    <mergeCell ref="B248:B250"/>
    <mergeCell ref="A244:A245"/>
    <mergeCell ref="A236:A237"/>
    <mergeCell ref="A241:A243"/>
    <mergeCell ref="A263:A265"/>
    <mergeCell ref="B263:B265"/>
    <mergeCell ref="B238:B240"/>
    <mergeCell ref="C274:C275"/>
    <mergeCell ref="C278:C279"/>
    <mergeCell ref="C257:C258"/>
    <mergeCell ref="A274:A275"/>
    <mergeCell ref="B413:B415"/>
    <mergeCell ref="B416:B418"/>
    <mergeCell ref="B419:B421"/>
    <mergeCell ref="A361:A362"/>
    <mergeCell ref="A331:A332"/>
    <mergeCell ref="A363:A365"/>
    <mergeCell ref="A422:A424"/>
    <mergeCell ref="H7:K7"/>
    <mergeCell ref="A9:K9"/>
    <mergeCell ref="A204:A206"/>
    <mergeCell ref="A214:A215"/>
    <mergeCell ref="A212:A213"/>
    <mergeCell ref="B121:B122"/>
    <mergeCell ref="B159:B160"/>
    <mergeCell ref="J91:J92"/>
    <mergeCell ref="J93:J96"/>
    <mergeCell ref="J97:J99"/>
    <mergeCell ref="A83:A84"/>
    <mergeCell ref="A85:A86"/>
    <mergeCell ref="A141:A142"/>
    <mergeCell ref="A130:A131"/>
    <mergeCell ref="A109:A110"/>
    <mergeCell ref="A138:A140"/>
    <mergeCell ref="A128:A129"/>
    <mergeCell ref="A93:A96"/>
    <mergeCell ref="A91:A92"/>
    <mergeCell ref="B65:B66"/>
    <mergeCell ref="B63:B64"/>
    <mergeCell ref="A65:A66"/>
    <mergeCell ref="A63:A64"/>
    <mergeCell ref="B72:B73"/>
    <mergeCell ref="A72:A73"/>
    <mergeCell ref="A453:A457"/>
    <mergeCell ref="A67:A68"/>
    <mergeCell ref="A419:A421"/>
    <mergeCell ref="A257:A258"/>
    <mergeCell ref="A223:A224"/>
    <mergeCell ref="A307:A308"/>
    <mergeCell ref="A303:A306"/>
    <mergeCell ref="A322:A324"/>
    <mergeCell ref="A357:A359"/>
    <mergeCell ref="A328:A330"/>
    <mergeCell ref="A399:A403"/>
    <mergeCell ref="A378:A380"/>
    <mergeCell ref="A216:A217"/>
    <mergeCell ref="A227:A229"/>
    <mergeCell ref="A230:A232"/>
    <mergeCell ref="A290:A291"/>
    <mergeCell ref="A300:A302"/>
    <mergeCell ref="A407:A409"/>
    <mergeCell ref="A251:A252"/>
    <mergeCell ref="A393:A395"/>
    <mergeCell ref="A416:A418"/>
    <mergeCell ref="A112:A113"/>
    <mergeCell ref="A207:A208"/>
    <mergeCell ref="A106:A107"/>
    <mergeCell ref="A143:A144"/>
    <mergeCell ref="A170:A171"/>
    <mergeCell ref="A325:A327"/>
    <mergeCell ref="A315:A317"/>
    <mergeCell ref="A319:A321"/>
    <mergeCell ref="A333:A335"/>
    <mergeCell ref="A336:A337"/>
    <mergeCell ref="A349:A351"/>
    <mergeCell ref="B425:B428"/>
    <mergeCell ref="B399:B403"/>
    <mergeCell ref="B407:B409"/>
    <mergeCell ref="A445:A449"/>
    <mergeCell ref="A436:A438"/>
    <mergeCell ref="A433:A435"/>
    <mergeCell ref="B462:B465"/>
    <mergeCell ref="E446:E447"/>
    <mergeCell ref="E436:E438"/>
    <mergeCell ref="E429:E431"/>
    <mergeCell ref="E433:E435"/>
    <mergeCell ref="D425:D428"/>
    <mergeCell ref="B433:B435"/>
    <mergeCell ref="B436:B438"/>
    <mergeCell ref="D446:D447"/>
    <mergeCell ref="D436:D438"/>
    <mergeCell ref="C436:C438"/>
    <mergeCell ref="A429:A432"/>
    <mergeCell ref="A425:A428"/>
    <mergeCell ref="B445:B449"/>
    <mergeCell ref="B458:B461"/>
    <mergeCell ref="B450:B452"/>
    <mergeCell ref="B393:B395"/>
    <mergeCell ref="D399:D401"/>
    <mergeCell ref="D451:D452"/>
    <mergeCell ref="A450:A452"/>
    <mergeCell ref="F479:F480"/>
    <mergeCell ref="E490:E491"/>
    <mergeCell ref="B422:B424"/>
    <mergeCell ref="C429:C432"/>
    <mergeCell ref="C433:C435"/>
    <mergeCell ref="E422:E424"/>
    <mergeCell ref="G433:G435"/>
    <mergeCell ref="F436:F438"/>
    <mergeCell ref="I429:I431"/>
    <mergeCell ref="I425:I428"/>
    <mergeCell ref="J433:J435"/>
    <mergeCell ref="J425:J428"/>
    <mergeCell ref="F425:F428"/>
    <mergeCell ref="G429:G431"/>
    <mergeCell ref="J429:J432"/>
    <mergeCell ref="D466:D467"/>
    <mergeCell ref="D479:D480"/>
    <mergeCell ref="C470:C474"/>
    <mergeCell ref="E466:E467"/>
    <mergeCell ref="B485:B487"/>
    <mergeCell ref="C485:C487"/>
    <mergeCell ref="J479:J482"/>
    <mergeCell ref="J483:J484"/>
    <mergeCell ref="F458:F460"/>
    <mergeCell ref="B386:B390"/>
    <mergeCell ref="C253:C256"/>
    <mergeCell ref="C272:C273"/>
    <mergeCell ref="A34:A36"/>
    <mergeCell ref="C34:C36"/>
    <mergeCell ref="A51:A56"/>
    <mergeCell ref="A75:A76"/>
    <mergeCell ref="A135:A137"/>
    <mergeCell ref="A59:A60"/>
    <mergeCell ref="A61:A62"/>
    <mergeCell ref="B61:B62"/>
    <mergeCell ref="A69:A71"/>
    <mergeCell ref="B75:B76"/>
    <mergeCell ref="B67:B68"/>
    <mergeCell ref="C152:C153"/>
    <mergeCell ref="C135:C137"/>
    <mergeCell ref="A238:A240"/>
    <mergeCell ref="A209:A211"/>
    <mergeCell ref="A189:A191"/>
    <mergeCell ref="A194:A195"/>
    <mergeCell ref="A197:A199"/>
    <mergeCell ref="A248:A250"/>
    <mergeCell ref="A283:A284"/>
    <mergeCell ref="B234:B235"/>
    <mergeCell ref="C65:C66"/>
    <mergeCell ref="B59:B60"/>
    <mergeCell ref="B47:B49"/>
    <mergeCell ref="B118:B119"/>
    <mergeCell ref="B132:B134"/>
    <mergeCell ref="B93:B96"/>
    <mergeCell ref="A342:A346"/>
    <mergeCell ref="A353:A354"/>
    <mergeCell ref="K393:K395"/>
    <mergeCell ref="I387:I388"/>
    <mergeCell ref="K378:K380"/>
    <mergeCell ref="K384:K385"/>
    <mergeCell ref="K391:K392"/>
    <mergeCell ref="A396:A398"/>
    <mergeCell ref="A384:A385"/>
    <mergeCell ref="A338:A341"/>
    <mergeCell ref="K319:K321"/>
    <mergeCell ref="J300:J302"/>
    <mergeCell ref="A152:A153"/>
    <mergeCell ref="J325:J327"/>
    <mergeCell ref="K197:K199"/>
    <mergeCell ref="D94:D95"/>
    <mergeCell ref="C91:C92"/>
    <mergeCell ref="C83:C84"/>
    <mergeCell ref="D88:D89"/>
    <mergeCell ref="B154:B155"/>
    <mergeCell ref="B152:B153"/>
    <mergeCell ref="B128:B129"/>
    <mergeCell ref="B130:B131"/>
    <mergeCell ref="A382:A383"/>
    <mergeCell ref="A225:A226"/>
    <mergeCell ref="A246:A247"/>
    <mergeCell ref="A218:A222"/>
    <mergeCell ref="A234:A235"/>
    <mergeCell ref="B97:B99"/>
    <mergeCell ref="A97:A99"/>
    <mergeCell ref="E88:E89"/>
    <mergeCell ref="C85:C86"/>
    <mergeCell ref="C87:C90"/>
    <mergeCell ref="C97:C99"/>
    <mergeCell ref="K333:K335"/>
    <mergeCell ref="J109:J110"/>
    <mergeCell ref="K307:K308"/>
    <mergeCell ref="J72:J73"/>
    <mergeCell ref="J77:J80"/>
    <mergeCell ref="A375:A376"/>
    <mergeCell ref="D78:D79"/>
    <mergeCell ref="B77:B80"/>
    <mergeCell ref="A81:A82"/>
    <mergeCell ref="B81:B82"/>
    <mergeCell ref="C104:C105"/>
    <mergeCell ref="B100:B103"/>
    <mergeCell ref="B106:B107"/>
    <mergeCell ref="B87:B90"/>
    <mergeCell ref="B85:B86"/>
    <mergeCell ref="B141:B142"/>
    <mergeCell ref="C156:C157"/>
    <mergeCell ref="C154:C155"/>
    <mergeCell ref="C143:C144"/>
    <mergeCell ref="C179:C182"/>
    <mergeCell ref="C186:C188"/>
    <mergeCell ref="G189:G190"/>
    <mergeCell ref="B138:B140"/>
    <mergeCell ref="B83:B84"/>
    <mergeCell ref="A100:A103"/>
    <mergeCell ref="B328:B330"/>
    <mergeCell ref="C77:C80"/>
    <mergeCell ref="A118:A119"/>
    <mergeCell ref="A123:A124"/>
    <mergeCell ref="A177:A178"/>
    <mergeCell ref="A179:A182"/>
    <mergeCell ref="A174:A176"/>
    <mergeCell ref="K399:K403"/>
    <mergeCell ref="K396:K398"/>
    <mergeCell ref="B209:B211"/>
    <mergeCell ref="B216:B217"/>
    <mergeCell ref="C218:C222"/>
    <mergeCell ref="C183:C185"/>
    <mergeCell ref="C174:C176"/>
    <mergeCell ref="B186:B188"/>
    <mergeCell ref="B183:B185"/>
    <mergeCell ref="B156:B157"/>
    <mergeCell ref="E366:E367"/>
    <mergeCell ref="E396:E398"/>
    <mergeCell ref="B214:B215"/>
    <mergeCell ref="B207:B208"/>
    <mergeCell ref="C225:C226"/>
    <mergeCell ref="B204:B206"/>
    <mergeCell ref="B194:B195"/>
    <mergeCell ref="D366:D367"/>
    <mergeCell ref="B391:B392"/>
    <mergeCell ref="B241:B243"/>
    <mergeCell ref="B357:B359"/>
    <mergeCell ref="B274:B275"/>
    <mergeCell ref="B278:B279"/>
    <mergeCell ref="B336:B337"/>
    <mergeCell ref="B349:B351"/>
    <mergeCell ref="B363:B365"/>
    <mergeCell ref="B361:B362"/>
    <mergeCell ref="B307:B308"/>
    <mergeCell ref="E393:E395"/>
    <mergeCell ref="C349:C351"/>
    <mergeCell ref="B331:B332"/>
    <mergeCell ref="E363:E364"/>
    <mergeCell ref="J386:J390"/>
    <mergeCell ref="A413:A415"/>
    <mergeCell ref="B375:B376"/>
    <mergeCell ref="D363:D364"/>
    <mergeCell ref="I413:I415"/>
    <mergeCell ref="J410:J412"/>
    <mergeCell ref="H410:H412"/>
    <mergeCell ref="I410:I412"/>
    <mergeCell ref="B366:B368"/>
    <mergeCell ref="A391:A392"/>
    <mergeCell ref="A410:A412"/>
    <mergeCell ref="A404:A406"/>
    <mergeCell ref="A366:A368"/>
    <mergeCell ref="D396:D398"/>
    <mergeCell ref="H387:H388"/>
    <mergeCell ref="B410:B412"/>
    <mergeCell ref="B404:B406"/>
    <mergeCell ref="C407:C409"/>
    <mergeCell ref="G393:G395"/>
    <mergeCell ref="F387:F388"/>
    <mergeCell ref="F379:F380"/>
    <mergeCell ref="F363:F364"/>
    <mergeCell ref="I407:I409"/>
    <mergeCell ref="I363:I364"/>
    <mergeCell ref="D387:D388"/>
    <mergeCell ref="E387:E388"/>
    <mergeCell ref="G366:G367"/>
    <mergeCell ref="I393:I395"/>
    <mergeCell ref="H363:H364"/>
    <mergeCell ref="H393:H395"/>
    <mergeCell ref="C413:C415"/>
    <mergeCell ref="B396:B398"/>
    <mergeCell ref="J413:J415"/>
    <mergeCell ref="J416:J418"/>
    <mergeCell ref="E404:E406"/>
    <mergeCell ref="E399:E401"/>
    <mergeCell ref="I404:I406"/>
    <mergeCell ref="G399:G401"/>
    <mergeCell ref="H404:H406"/>
    <mergeCell ref="G419:G421"/>
    <mergeCell ref="J407:J409"/>
    <mergeCell ref="J399:J403"/>
    <mergeCell ref="J404:J406"/>
    <mergeCell ref="H399:H401"/>
    <mergeCell ref="I399:I401"/>
    <mergeCell ref="F410:F412"/>
    <mergeCell ref="G410:G412"/>
    <mergeCell ref="E413:E415"/>
    <mergeCell ref="H407:H409"/>
    <mergeCell ref="D413:D415"/>
    <mergeCell ref="E407:E409"/>
    <mergeCell ref="G407:G409"/>
    <mergeCell ref="D404:D406"/>
    <mergeCell ref="G396:G398"/>
    <mergeCell ref="D416:D418"/>
    <mergeCell ref="G413:G415"/>
    <mergeCell ref="H413:H415"/>
    <mergeCell ref="D410:D412"/>
    <mergeCell ref="F413:F415"/>
    <mergeCell ref="E410:E412"/>
    <mergeCell ref="K328:K330"/>
    <mergeCell ref="K353:K354"/>
    <mergeCell ref="C384:C385"/>
    <mergeCell ref="J357:J359"/>
    <mergeCell ref="K357:K359"/>
    <mergeCell ref="E357:E358"/>
    <mergeCell ref="K349:K351"/>
    <mergeCell ref="J363:J365"/>
    <mergeCell ref="J382:J383"/>
    <mergeCell ref="C357:C359"/>
    <mergeCell ref="J393:J395"/>
    <mergeCell ref="J391:J392"/>
    <mergeCell ref="G404:G406"/>
    <mergeCell ref="J353:J354"/>
    <mergeCell ref="I396:I398"/>
    <mergeCell ref="D393:D395"/>
    <mergeCell ref="C404:C406"/>
    <mergeCell ref="C393:C395"/>
    <mergeCell ref="C396:C398"/>
    <mergeCell ref="C399:C403"/>
    <mergeCell ref="C391:C392"/>
    <mergeCell ref="C363:C365"/>
    <mergeCell ref="K363:K365"/>
    <mergeCell ref="K366:K368"/>
    <mergeCell ref="K386:K390"/>
    <mergeCell ref="J378:J380"/>
    <mergeCell ref="E379:E380"/>
    <mergeCell ref="G379:G380"/>
    <mergeCell ref="I366:I367"/>
    <mergeCell ref="J366:J368"/>
    <mergeCell ref="G387:G388"/>
    <mergeCell ref="K361:K362"/>
    <mergeCell ref="K404:K406"/>
    <mergeCell ref="H230:H231"/>
    <mergeCell ref="H300:H301"/>
    <mergeCell ref="G272:G273"/>
    <mergeCell ref="G207:G208"/>
    <mergeCell ref="G253:G256"/>
    <mergeCell ref="G234:G235"/>
    <mergeCell ref="G266:G267"/>
    <mergeCell ref="G230:G231"/>
    <mergeCell ref="K294:K298"/>
    <mergeCell ref="J322:J324"/>
    <mergeCell ref="D266:D267"/>
    <mergeCell ref="H320:H321"/>
    <mergeCell ref="D300:D301"/>
    <mergeCell ref="F300:F301"/>
    <mergeCell ref="J336:J337"/>
    <mergeCell ref="H366:H367"/>
    <mergeCell ref="F396:F398"/>
    <mergeCell ref="I320:I321"/>
    <mergeCell ref="F393:F395"/>
    <mergeCell ref="J396:J398"/>
    <mergeCell ref="C132:C134"/>
    <mergeCell ref="F47:F48"/>
    <mergeCell ref="E70:E71"/>
    <mergeCell ref="D70:D71"/>
    <mergeCell ref="I59:I60"/>
    <mergeCell ref="F59:F60"/>
    <mergeCell ref="E59:E60"/>
    <mergeCell ref="C63:C64"/>
    <mergeCell ref="F152:F153"/>
    <mergeCell ref="J63:J64"/>
    <mergeCell ref="J65:J66"/>
    <mergeCell ref="D59:D60"/>
    <mergeCell ref="E47:E48"/>
    <mergeCell ref="C59:C60"/>
    <mergeCell ref="C106:C107"/>
    <mergeCell ref="C138:C140"/>
    <mergeCell ref="C93:C96"/>
    <mergeCell ref="C100:C103"/>
    <mergeCell ref="C123:C124"/>
    <mergeCell ref="C130:C131"/>
    <mergeCell ref="C125:C127"/>
    <mergeCell ref="D135:D136"/>
    <mergeCell ref="C75:C76"/>
    <mergeCell ref="C72:C73"/>
    <mergeCell ref="C67:C68"/>
    <mergeCell ref="C115:C117"/>
    <mergeCell ref="J125:J127"/>
    <mergeCell ref="J106:J107"/>
    <mergeCell ref="J121:J122"/>
    <mergeCell ref="E78:E79"/>
    <mergeCell ref="I78:I79"/>
    <mergeCell ref="H78:H79"/>
    <mergeCell ref="K61:K62"/>
    <mergeCell ref="K65:K66"/>
    <mergeCell ref="J69:J71"/>
    <mergeCell ref="K63:K64"/>
    <mergeCell ref="K69:K71"/>
    <mergeCell ref="J67:J68"/>
    <mergeCell ref="F70:F71"/>
    <mergeCell ref="J61:J62"/>
    <mergeCell ref="F186:F187"/>
    <mergeCell ref="F94:F95"/>
    <mergeCell ref="J83:J84"/>
    <mergeCell ref="H88:H89"/>
    <mergeCell ref="H174:H176"/>
    <mergeCell ref="F174:F176"/>
    <mergeCell ref="F78:F79"/>
    <mergeCell ref="K67:K68"/>
    <mergeCell ref="K72:K73"/>
    <mergeCell ref="F101:F102"/>
    <mergeCell ref="J123:J124"/>
    <mergeCell ref="J85:J86"/>
    <mergeCell ref="I135:I136"/>
    <mergeCell ref="K85:K86"/>
    <mergeCell ref="K77:K80"/>
    <mergeCell ref="B2:C2"/>
    <mergeCell ref="B3:C3"/>
    <mergeCell ref="C14:C16"/>
    <mergeCell ref="A10:K10"/>
    <mergeCell ref="K14:K16"/>
    <mergeCell ref="G6:K6"/>
    <mergeCell ref="E14:I14"/>
    <mergeCell ref="E15:E16"/>
    <mergeCell ref="F15:I15"/>
    <mergeCell ref="B4:C4"/>
    <mergeCell ref="A14:A16"/>
    <mergeCell ref="K37:K39"/>
    <mergeCell ref="J41:J43"/>
    <mergeCell ref="G47:G48"/>
    <mergeCell ref="H47:H48"/>
    <mergeCell ref="I47:I48"/>
    <mergeCell ref="A37:A40"/>
    <mergeCell ref="A41:A43"/>
    <mergeCell ref="J14:J16"/>
    <mergeCell ref="K34:K36"/>
    <mergeCell ref="C41:C43"/>
    <mergeCell ref="D14:D16"/>
    <mergeCell ref="D47:D48"/>
    <mergeCell ref="A26:A27"/>
    <mergeCell ref="K18:K27"/>
    <mergeCell ref="A47:A48"/>
    <mergeCell ref="B41:B43"/>
    <mergeCell ref="B14:B16"/>
    <mergeCell ref="J34:J36"/>
    <mergeCell ref="A45:A46"/>
    <mergeCell ref="B34:B36"/>
    <mergeCell ref="B45:B46"/>
    <mergeCell ref="B37:B39"/>
    <mergeCell ref="C45:C46"/>
    <mergeCell ref="J59:J60"/>
    <mergeCell ref="H59:H60"/>
    <mergeCell ref="G59:G60"/>
    <mergeCell ref="J186:J188"/>
    <mergeCell ref="B179:B182"/>
    <mergeCell ref="C200:C201"/>
    <mergeCell ref="C128:C129"/>
    <mergeCell ref="B135:B137"/>
    <mergeCell ref="C81:C82"/>
    <mergeCell ref="D207:D208"/>
    <mergeCell ref="D186:D187"/>
    <mergeCell ref="G174:G176"/>
    <mergeCell ref="I179:I182"/>
    <mergeCell ref="E101:E102"/>
    <mergeCell ref="H189:H190"/>
    <mergeCell ref="G186:G187"/>
    <mergeCell ref="I174:I176"/>
    <mergeCell ref="I154:I155"/>
    <mergeCell ref="I152:I153"/>
    <mergeCell ref="G154:G155"/>
    <mergeCell ref="G70:G71"/>
    <mergeCell ref="H94:H95"/>
    <mergeCell ref="I70:I71"/>
    <mergeCell ref="H70:H71"/>
    <mergeCell ref="G78:G79"/>
    <mergeCell ref="B200:B201"/>
    <mergeCell ref="B189:B191"/>
    <mergeCell ref="B174:B176"/>
    <mergeCell ref="B177:B178"/>
    <mergeCell ref="C177:C178"/>
    <mergeCell ref="D154:D155"/>
    <mergeCell ref="C189:C191"/>
    <mergeCell ref="A161:A162"/>
    <mergeCell ref="A159:A160"/>
    <mergeCell ref="A183:A185"/>
    <mergeCell ref="A186:A188"/>
    <mergeCell ref="A154:A155"/>
    <mergeCell ref="C141:C142"/>
    <mergeCell ref="E174:E176"/>
    <mergeCell ref="C216:C217"/>
    <mergeCell ref="B197:B199"/>
    <mergeCell ref="C212:C213"/>
    <mergeCell ref="C61:C62"/>
    <mergeCell ref="A132:A134"/>
    <mergeCell ref="A77:A80"/>
    <mergeCell ref="A104:A105"/>
    <mergeCell ref="A121:A122"/>
    <mergeCell ref="A163:A164"/>
    <mergeCell ref="B115:B117"/>
    <mergeCell ref="B104:B105"/>
    <mergeCell ref="C109:C110"/>
    <mergeCell ref="C112:C113"/>
    <mergeCell ref="D152:D153"/>
    <mergeCell ref="B69:B71"/>
    <mergeCell ref="C69:C71"/>
    <mergeCell ref="E152:E153"/>
    <mergeCell ref="D174:D176"/>
    <mergeCell ref="E186:E187"/>
    <mergeCell ref="E189:E190"/>
    <mergeCell ref="C121:C122"/>
    <mergeCell ref="D101:D102"/>
    <mergeCell ref="E159:E160"/>
    <mergeCell ref="H379:H380"/>
    <mergeCell ref="H396:H398"/>
    <mergeCell ref="C227:C229"/>
    <mergeCell ref="C223:C224"/>
    <mergeCell ref="C236:C237"/>
    <mergeCell ref="E227:E228"/>
    <mergeCell ref="D227:D228"/>
    <mergeCell ref="C194:C195"/>
    <mergeCell ref="F159:F160"/>
    <mergeCell ref="G159:G160"/>
    <mergeCell ref="C366:C368"/>
    <mergeCell ref="E207:E208"/>
    <mergeCell ref="C230:C232"/>
    <mergeCell ref="C197:C199"/>
    <mergeCell ref="C238:C240"/>
    <mergeCell ref="C312:C314"/>
    <mergeCell ref="C251:C252"/>
    <mergeCell ref="C261:C262"/>
    <mergeCell ref="C263:C265"/>
    <mergeCell ref="C241:C243"/>
    <mergeCell ref="D159:D160"/>
    <mergeCell ref="C159:C160"/>
    <mergeCell ref="C161:C162"/>
    <mergeCell ref="G357:G358"/>
    <mergeCell ref="F366:F367"/>
    <mergeCell ref="C307:C308"/>
    <mergeCell ref="D320:D321"/>
    <mergeCell ref="G270:G271"/>
    <mergeCell ref="H253:H256"/>
    <mergeCell ref="H246:H247"/>
    <mergeCell ref="D189:D190"/>
    <mergeCell ref="H357:H358"/>
    <mergeCell ref="G416:G418"/>
    <mergeCell ref="C425:C428"/>
    <mergeCell ref="F429:F431"/>
    <mergeCell ref="K453:K457"/>
    <mergeCell ref="I446:I447"/>
    <mergeCell ref="G446:G447"/>
    <mergeCell ref="H451:H452"/>
    <mergeCell ref="J450:J452"/>
    <mergeCell ref="E451:E452"/>
    <mergeCell ref="C445:C449"/>
    <mergeCell ref="E416:E418"/>
    <mergeCell ref="G436:G438"/>
    <mergeCell ref="F433:F435"/>
    <mergeCell ref="E419:E421"/>
    <mergeCell ref="H458:H460"/>
    <mergeCell ref="B490:B501"/>
    <mergeCell ref="B510:B511"/>
    <mergeCell ref="K466:K469"/>
    <mergeCell ref="K475:K477"/>
    <mergeCell ref="K422:K424"/>
    <mergeCell ref="K419:K421"/>
    <mergeCell ref="J419:J421"/>
    <mergeCell ref="C419:C421"/>
    <mergeCell ref="G422:G424"/>
    <mergeCell ref="J422:J424"/>
    <mergeCell ref="G453:G454"/>
    <mergeCell ref="J453:J457"/>
    <mergeCell ref="I436:I438"/>
    <mergeCell ref="H416:H418"/>
    <mergeCell ref="I416:I418"/>
    <mergeCell ref="H419:H421"/>
    <mergeCell ref="F416:F418"/>
    <mergeCell ref="J470:J474"/>
    <mergeCell ref="H466:H467"/>
    <mergeCell ref="K547:K549"/>
    <mergeCell ref="J510:J511"/>
    <mergeCell ref="I490:I491"/>
    <mergeCell ref="H502:H503"/>
    <mergeCell ref="J505:J506"/>
    <mergeCell ref="J502:J504"/>
    <mergeCell ref="J462:J465"/>
    <mergeCell ref="J566:J567"/>
    <mergeCell ref="I566:I567"/>
    <mergeCell ref="B553:B556"/>
    <mergeCell ref="I419:I421"/>
    <mergeCell ref="D422:D424"/>
    <mergeCell ref="H453:H454"/>
    <mergeCell ref="I453:I454"/>
    <mergeCell ref="B453:B457"/>
    <mergeCell ref="C453:C457"/>
    <mergeCell ref="F453:F454"/>
    <mergeCell ref="E479:E480"/>
    <mergeCell ref="E502:E503"/>
    <mergeCell ref="G490:G491"/>
    <mergeCell ref="J490:J501"/>
    <mergeCell ref="H490:H491"/>
    <mergeCell ref="B475:B478"/>
    <mergeCell ref="G466:G467"/>
    <mergeCell ref="G458:G460"/>
    <mergeCell ref="C422:C424"/>
    <mergeCell ref="B547:B548"/>
    <mergeCell ref="K436:K438"/>
    <mergeCell ref="B519:B520"/>
    <mergeCell ref="C466:C469"/>
    <mergeCell ref="B531:B533"/>
    <mergeCell ref="E598:E599"/>
    <mergeCell ref="B557:B558"/>
    <mergeCell ref="B521:B525"/>
    <mergeCell ref="C521:C525"/>
    <mergeCell ref="D570:D571"/>
    <mergeCell ref="B629:B631"/>
    <mergeCell ref="B611:B612"/>
    <mergeCell ref="F598:F599"/>
    <mergeCell ref="G595:G597"/>
    <mergeCell ref="C629:C631"/>
    <mergeCell ref="E595:E597"/>
    <mergeCell ref="I595:I597"/>
    <mergeCell ref="H598:H599"/>
    <mergeCell ref="K590:K594"/>
    <mergeCell ref="B593:B594"/>
    <mergeCell ref="B590:B592"/>
    <mergeCell ref="E570:E571"/>
    <mergeCell ref="B570:B571"/>
    <mergeCell ref="G570:G571"/>
    <mergeCell ref="I570:I571"/>
    <mergeCell ref="J570:J571"/>
    <mergeCell ref="I564:I565"/>
    <mergeCell ref="J553:J554"/>
    <mergeCell ref="C564:C565"/>
    <mergeCell ref="J568:J569"/>
    <mergeCell ref="I568:I569"/>
    <mergeCell ref="K550:K552"/>
    <mergeCell ref="J557:J558"/>
    <mergeCell ref="C550:C552"/>
    <mergeCell ref="K568:K569"/>
    <mergeCell ref="J564:J565"/>
    <mergeCell ref="B632:B633"/>
    <mergeCell ref="B666:B667"/>
    <mergeCell ref="C662:C663"/>
    <mergeCell ref="C538:C539"/>
    <mergeCell ref="A568:A569"/>
    <mergeCell ref="A584:A585"/>
    <mergeCell ref="C568:C569"/>
    <mergeCell ref="C560:C561"/>
    <mergeCell ref="C562:C563"/>
    <mergeCell ref="F570:F571"/>
    <mergeCell ref="F595:F597"/>
    <mergeCell ref="G598:G599"/>
    <mergeCell ref="F666:F667"/>
    <mergeCell ref="G666:G667"/>
    <mergeCell ref="D666:D667"/>
    <mergeCell ref="H666:H667"/>
    <mergeCell ref="K659:K660"/>
    <mergeCell ref="J560:J561"/>
    <mergeCell ref="K557:K558"/>
    <mergeCell ref="K562:K563"/>
    <mergeCell ref="J562:J563"/>
    <mergeCell ref="K553:K556"/>
    <mergeCell ref="J542:J543"/>
    <mergeCell ref="J538:J539"/>
    <mergeCell ref="I622:I625"/>
    <mergeCell ref="J606:J609"/>
    <mergeCell ref="I643:I644"/>
    <mergeCell ref="A641:K641"/>
    <mergeCell ref="C666:C667"/>
    <mergeCell ref="C593:C594"/>
    <mergeCell ref="B538:B539"/>
    <mergeCell ref="C586:C588"/>
    <mergeCell ref="B586:B588"/>
    <mergeCell ref="B608:B609"/>
    <mergeCell ref="C608:C609"/>
    <mergeCell ref="C632:C633"/>
    <mergeCell ref="C570:C571"/>
    <mergeCell ref="B584:B585"/>
    <mergeCell ref="K662:K663"/>
    <mergeCell ref="K643:K644"/>
    <mergeCell ref="C531:C532"/>
    <mergeCell ref="B568:B569"/>
    <mergeCell ref="B562:B563"/>
    <mergeCell ref="B564:B565"/>
    <mergeCell ref="B643:B644"/>
    <mergeCell ref="D595:D597"/>
    <mergeCell ref="G659:G660"/>
    <mergeCell ref="D598:D599"/>
    <mergeCell ref="I666:I667"/>
    <mergeCell ref="J666:J667"/>
    <mergeCell ref="K666:K667"/>
    <mergeCell ref="J662:J663"/>
    <mergeCell ref="J659:J660"/>
    <mergeCell ref="I662:I663"/>
    <mergeCell ref="K586:K588"/>
    <mergeCell ref="E666:E667"/>
    <mergeCell ref="H662:H663"/>
    <mergeCell ref="F643:F644"/>
    <mergeCell ref="G643:G644"/>
    <mergeCell ref="H643:H644"/>
    <mergeCell ref="K531:K533"/>
    <mergeCell ref="C502:C504"/>
    <mergeCell ref="K529:K530"/>
    <mergeCell ref="G662:G663"/>
    <mergeCell ref="C519:C520"/>
    <mergeCell ref="B659:B660"/>
    <mergeCell ref="A659:A660"/>
    <mergeCell ref="C659:C660"/>
    <mergeCell ref="C647:C654"/>
    <mergeCell ref="K647:K654"/>
    <mergeCell ref="A655:K655"/>
    <mergeCell ref="A616:A617"/>
    <mergeCell ref="A586:A588"/>
    <mergeCell ref="A643:A644"/>
    <mergeCell ref="C643:C644"/>
    <mergeCell ref="D643:D644"/>
    <mergeCell ref="A632:A633"/>
    <mergeCell ref="C584:C585"/>
    <mergeCell ref="D659:D660"/>
    <mergeCell ref="E659:E660"/>
    <mergeCell ref="C590:C592"/>
    <mergeCell ref="A629:A631"/>
    <mergeCell ref="A589:K589"/>
    <mergeCell ref="K632:K633"/>
    <mergeCell ref="H595:H597"/>
    <mergeCell ref="A590:A592"/>
    <mergeCell ref="K629:K631"/>
    <mergeCell ref="K622:K625"/>
    <mergeCell ref="L361:M362"/>
    <mergeCell ref="A508:A509"/>
    <mergeCell ref="B508:B509"/>
    <mergeCell ref="C508:C509"/>
    <mergeCell ref="J508:J509"/>
    <mergeCell ref="K508:K509"/>
    <mergeCell ref="A502:A504"/>
    <mergeCell ref="B502:B504"/>
    <mergeCell ref="K485:K487"/>
    <mergeCell ref="K483:K484"/>
    <mergeCell ref="K445:K449"/>
    <mergeCell ref="J488:J489"/>
    <mergeCell ref="K488:K489"/>
    <mergeCell ref="C488:C489"/>
    <mergeCell ref="H485:H486"/>
    <mergeCell ref="G485:G486"/>
    <mergeCell ref="J485:J487"/>
    <mergeCell ref="I485:I486"/>
    <mergeCell ref="K479:K482"/>
    <mergeCell ref="I479:I480"/>
    <mergeCell ref="J445:J449"/>
    <mergeCell ref="K413:K415"/>
    <mergeCell ref="I458:I460"/>
    <mergeCell ref="I466:I467"/>
    <mergeCell ref="C483:C484"/>
    <mergeCell ref="D502:D503"/>
    <mergeCell ref="H436:H438"/>
    <mergeCell ref="H446:H447"/>
    <mergeCell ref="H429:H431"/>
    <mergeCell ref="G451:G452"/>
    <mergeCell ref="H433:H435"/>
    <mergeCell ref="I422:I424"/>
    <mergeCell ref="A676:A680"/>
    <mergeCell ref="B676:B680"/>
    <mergeCell ref="C676:C680"/>
    <mergeCell ref="C118:C119"/>
    <mergeCell ref="C475:C477"/>
    <mergeCell ref="C479:C482"/>
    <mergeCell ref="A475:A478"/>
    <mergeCell ref="A488:A489"/>
    <mergeCell ref="B384:B385"/>
    <mergeCell ref="B382:B383"/>
    <mergeCell ref="A483:A484"/>
    <mergeCell ref="A485:A487"/>
    <mergeCell ref="D485:D486"/>
    <mergeCell ref="B483:B484"/>
    <mergeCell ref="B479:B482"/>
    <mergeCell ref="G479:G480"/>
    <mergeCell ref="F485:F486"/>
    <mergeCell ref="D419:D421"/>
    <mergeCell ref="C490:C501"/>
    <mergeCell ref="C410:C412"/>
    <mergeCell ref="E425:E428"/>
    <mergeCell ref="F419:F421"/>
    <mergeCell ref="F422:F424"/>
    <mergeCell ref="D407:D409"/>
    <mergeCell ref="E662:E663"/>
    <mergeCell ref="D662:D663"/>
    <mergeCell ref="A662:A663"/>
    <mergeCell ref="B662:B663"/>
    <mergeCell ref="A666:A667"/>
    <mergeCell ref="F662:F663"/>
    <mergeCell ref="F659:F660"/>
    <mergeCell ref="B647:B654"/>
    <mergeCell ref="K41:K43"/>
    <mergeCell ref="J45:J46"/>
    <mergeCell ref="B163:B164"/>
    <mergeCell ref="J179:J180"/>
    <mergeCell ref="E303:E304"/>
    <mergeCell ref="F303:F304"/>
    <mergeCell ref="G303:G304"/>
    <mergeCell ref="H303:H304"/>
    <mergeCell ref="J303:J306"/>
    <mergeCell ref="K303:K306"/>
    <mergeCell ref="D303:D304"/>
    <mergeCell ref="A601:A602"/>
    <mergeCell ref="C595:C602"/>
    <mergeCell ref="B595:B602"/>
    <mergeCell ref="J595:J602"/>
    <mergeCell ref="K595:K602"/>
    <mergeCell ref="C610:C613"/>
    <mergeCell ref="J610:J613"/>
    <mergeCell ref="K610:K613"/>
    <mergeCell ref="A612:A613"/>
    <mergeCell ref="K425:K428"/>
    <mergeCell ref="G425:G428"/>
    <mergeCell ref="J436:J438"/>
    <mergeCell ref="H422:H424"/>
    <mergeCell ref="H425:H428"/>
    <mergeCell ref="I433:I435"/>
    <mergeCell ref="K606:K609"/>
    <mergeCell ref="I598:I599"/>
    <mergeCell ref="D490:D491"/>
    <mergeCell ref="F502:F503"/>
    <mergeCell ref="C534:C536"/>
    <mergeCell ref="B534:B536"/>
  </mergeCells>
  <printOptions gridLines="1"/>
  <pageMargins left="0.31496062992125984" right="0" top="0.5511811023622047" bottom="0.3937007874015748" header="0.2362204724409449" footer="0.1968503937007874"/>
  <pageSetup fitToHeight="0" fitToWidth="1" horizontalDpi="600" verticalDpi="600" orientation="landscape" paperSize="9" scale="57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ФКиС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Балашов Николай</dc:creator>
  <cp:keywords/>
  <dc:description/>
  <cp:lastModifiedBy>Панкратов Антон Сергеевич</cp:lastModifiedBy>
  <cp:lastPrinted>2015-12-21T14:45:26Z</cp:lastPrinted>
  <dcterms:created xsi:type="dcterms:W3CDTF">2008-02-20T07:39:22Z</dcterms:created>
  <dcterms:modified xsi:type="dcterms:W3CDTF">2016-01-13T12:40:51Z</dcterms:modified>
  <cp:category/>
  <cp:version/>
  <cp:contentType/>
  <cp:contentStatus/>
</cp:coreProperties>
</file>